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555" yWindow="255" windowWidth="14865" windowHeight="7515" activeTab="2"/>
  </bookViews>
  <sheets>
    <sheet name="ct" sheetId="27441" r:id="rId1"/>
    <sheet name="mo" sheetId="27444" r:id="rId2"/>
    <sheet name="Лист1" sheetId="27436" r:id="rId3"/>
    <sheet name="425" sheetId="27438" r:id="rId4"/>
    <sheet name="125" sheetId="27445" r:id="rId5"/>
    <sheet name="g" sheetId="27447" r:id="rId6"/>
    <sheet name="g1" sheetId="27448" r:id="rId7"/>
    <sheet name="ctm" sheetId="27450" r:id="rId8"/>
    <sheet name="ctr" sheetId="27451" r:id="rId9"/>
    <sheet name="Лист2" sheetId="27452" r:id="rId10"/>
    <sheet name="423" sheetId="27453" r:id="rId11"/>
    <sheet name="177" sheetId="27454" r:id="rId12"/>
    <sheet name="gog" sheetId="27446" r:id="rId13"/>
    <sheet name="МО" sheetId="27455" r:id="rId14"/>
    <sheet name="ВО" sheetId="27457" r:id="rId15"/>
    <sheet name="ЛО" sheetId="27458" r:id="rId16"/>
    <sheet name="СО" sheetId="27459" r:id="rId17"/>
    <sheet name="ГО" sheetId="27456" r:id="rId18"/>
    <sheet name="Лист3" sheetId="27460" r:id="rId19"/>
    <sheet name="Лист4" sheetId="27461" r:id="rId20"/>
  </sheets>
  <definedNames>
    <definedName name="_xlnm.Print_Area" localSheetId="2">Лист1!$A$7:$H$686</definedName>
  </definedNames>
  <calcPr calcId="125725"/>
</workbook>
</file>

<file path=xl/calcChain.xml><?xml version="1.0" encoding="utf-8"?>
<calcChain xmlns="http://schemas.openxmlformats.org/spreadsheetml/2006/main">
  <c r="F1" i="27451"/>
  <c r="I74" i="27450"/>
  <c r="E74"/>
  <c r="M19"/>
  <c r="I19"/>
  <c r="M81" i="27441"/>
  <c r="M80"/>
  <c r="D26" i="27451"/>
  <c r="V48" i="27454"/>
  <c r="M44" i="27441"/>
  <c r="M43"/>
  <c r="M34"/>
  <c r="G658" i="27436"/>
  <c r="G656"/>
  <c r="I253" i="27444"/>
  <c r="I252"/>
  <c r="C253"/>
  <c r="C252"/>
  <c r="E253"/>
  <c r="E252"/>
  <c r="G253"/>
  <c r="G252"/>
  <c r="D194" i="27436"/>
  <c r="D188" i="27444" l="1"/>
  <c r="D241"/>
  <c r="H102"/>
  <c r="H188"/>
  <c r="F174"/>
  <c r="D189"/>
  <c r="D122"/>
  <c r="D584" i="27436"/>
  <c r="D434"/>
  <c r="E196" i="27444"/>
  <c r="C60" i="27461"/>
  <c r="K9"/>
  <c r="M55" i="27441"/>
  <c r="M69" s="1"/>
  <c r="C104" i="27456"/>
  <c r="C94"/>
  <c r="C9"/>
  <c r="B171" i="27459"/>
  <c r="B173"/>
  <c r="C89"/>
  <c r="D100"/>
  <c r="G40" i="27441"/>
  <c r="D139" i="27457"/>
  <c r="K18" i="27450"/>
  <c r="D160" i="27458"/>
  <c r="C149"/>
  <c r="C147"/>
  <c r="C148"/>
  <c r="C142"/>
  <c r="E137"/>
  <c r="E136"/>
  <c r="E140"/>
  <c r="E139"/>
  <c r="C102"/>
  <c r="I78" i="27452"/>
  <c r="I53"/>
  <c r="S15" i="27451"/>
  <c r="S14"/>
  <c r="S13"/>
  <c r="S12"/>
  <c r="T15"/>
  <c r="T14"/>
  <c r="T13"/>
  <c r="T12"/>
  <c r="F188" i="27444"/>
  <c r="D29"/>
  <c r="D196" i="27436"/>
  <c r="D349"/>
  <c r="D416"/>
  <c r="G44" i="27441"/>
  <c r="K55" l="1"/>
  <c r="C54" i="27444"/>
  <c r="L8"/>
  <c r="M110"/>
  <c r="L110"/>
  <c r="H188" i="27436"/>
  <c r="F188" s="1"/>
  <c r="E188"/>
  <c r="C63" i="27444"/>
  <c r="B63"/>
  <c r="C94"/>
  <c r="M94" s="1"/>
  <c r="B94"/>
  <c r="B54" s="1"/>
  <c r="C86"/>
  <c r="B86"/>
  <c r="E27"/>
  <c r="G297" i="27436"/>
  <c r="G603"/>
  <c r="D603"/>
  <c r="G586"/>
  <c r="M40" i="27441" s="1"/>
  <c r="D586" i="27436"/>
  <c r="D512"/>
  <c r="G512"/>
  <c r="G199"/>
  <c r="D81" i="27452"/>
  <c r="D68"/>
  <c r="D56"/>
  <c r="H342" i="27436"/>
  <c r="H341" s="1"/>
  <c r="F341" s="1"/>
  <c r="E342"/>
  <c r="E341"/>
  <c r="C341" s="1"/>
  <c r="C342"/>
  <c r="G257"/>
  <c r="H291"/>
  <c r="F291"/>
  <c r="G286"/>
  <c r="D286"/>
  <c r="G608"/>
  <c r="G607"/>
  <c r="D608"/>
  <c r="D607"/>
  <c r="H587"/>
  <c r="H586"/>
  <c r="H584"/>
  <c r="E587"/>
  <c r="E586"/>
  <c r="E584"/>
  <c r="G585"/>
  <c r="G584"/>
  <c r="D585"/>
  <c r="G581"/>
  <c r="D581"/>
  <c r="J77" i="27450"/>
  <c r="J76" s="1"/>
  <c r="I76"/>
  <c r="J75"/>
  <c r="I75"/>
  <c r="H75"/>
  <c r="G75"/>
  <c r="J74"/>
  <c r="H74"/>
  <c r="G74"/>
  <c r="I73"/>
  <c r="G73"/>
  <c r="I72"/>
  <c r="G72"/>
  <c r="I71"/>
  <c r="G71"/>
  <c r="I70"/>
  <c r="I69"/>
  <c r="G69"/>
  <c r="J68"/>
  <c r="I68"/>
  <c r="H68"/>
  <c r="G68"/>
  <c r="I67"/>
  <c r="G67"/>
  <c r="J65"/>
  <c r="I65"/>
  <c r="H65"/>
  <c r="G65"/>
  <c r="J64"/>
  <c r="I64"/>
  <c r="H64"/>
  <c r="G64"/>
  <c r="J63"/>
  <c r="H63"/>
  <c r="J61"/>
  <c r="H61"/>
  <c r="J60"/>
  <c r="H60"/>
  <c r="E76"/>
  <c r="F75"/>
  <c r="E75"/>
  <c r="D75"/>
  <c r="C75"/>
  <c r="F74"/>
  <c r="D74"/>
  <c r="E73"/>
  <c r="C73"/>
  <c r="E72"/>
  <c r="C72"/>
  <c r="E71"/>
  <c r="E69"/>
  <c r="C69"/>
  <c r="F68"/>
  <c r="E68"/>
  <c r="D68"/>
  <c r="C68"/>
  <c r="F67"/>
  <c r="E67"/>
  <c r="D67"/>
  <c r="C67"/>
  <c r="F66"/>
  <c r="E66"/>
  <c r="D66"/>
  <c r="C66"/>
  <c r="F65"/>
  <c r="E65"/>
  <c r="D65"/>
  <c r="C65"/>
  <c r="F63"/>
  <c r="D63"/>
  <c r="F62"/>
  <c r="D62"/>
  <c r="F61"/>
  <c r="D61"/>
  <c r="M21"/>
  <c r="N20"/>
  <c r="M20"/>
  <c r="L20"/>
  <c r="K20"/>
  <c r="N19"/>
  <c r="L19"/>
  <c r="M18"/>
  <c r="M14"/>
  <c r="K14"/>
  <c r="N13"/>
  <c r="M13"/>
  <c r="L13"/>
  <c r="K13"/>
  <c r="N12"/>
  <c r="M12"/>
  <c r="L12"/>
  <c r="K12"/>
  <c r="N10"/>
  <c r="M10"/>
  <c r="L10"/>
  <c r="K10"/>
  <c r="L9"/>
  <c r="K9"/>
  <c r="N8"/>
  <c r="L8"/>
  <c r="K8"/>
  <c r="N7"/>
  <c r="L7"/>
  <c r="K7"/>
  <c r="N6"/>
  <c r="L6"/>
  <c r="K6"/>
  <c r="L5"/>
  <c r="I21"/>
  <c r="J20"/>
  <c r="I20"/>
  <c r="H20"/>
  <c r="G20"/>
  <c r="J19"/>
  <c r="H19"/>
  <c r="I13"/>
  <c r="G13"/>
  <c r="I18"/>
  <c r="G18"/>
  <c r="I17"/>
  <c r="G17"/>
  <c r="I16"/>
  <c r="I15"/>
  <c r="I14"/>
  <c r="J13"/>
  <c r="H13"/>
  <c r="J12"/>
  <c r="I12"/>
  <c r="H12"/>
  <c r="G12"/>
  <c r="J10"/>
  <c r="I10"/>
  <c r="H10"/>
  <c r="G10"/>
  <c r="J8"/>
  <c r="H8"/>
  <c r="G7"/>
  <c r="J6"/>
  <c r="H6"/>
  <c r="E21"/>
  <c r="F20"/>
  <c r="E20"/>
  <c r="F19"/>
  <c r="D20"/>
  <c r="C20"/>
  <c r="D19"/>
  <c r="C16"/>
  <c r="C14"/>
  <c r="F13"/>
  <c r="E13"/>
  <c r="D13"/>
  <c r="C13"/>
  <c r="F12"/>
  <c r="N67" s="1"/>
  <c r="E12"/>
  <c r="D12"/>
  <c r="L67" s="1"/>
  <c r="J23" i="27441" s="1"/>
  <c r="C12" i="27450"/>
  <c r="F11"/>
  <c r="E11"/>
  <c r="D11"/>
  <c r="C11"/>
  <c r="F10"/>
  <c r="N65" s="1"/>
  <c r="E10"/>
  <c r="D10"/>
  <c r="L65" s="1"/>
  <c r="J21" i="27441" s="1"/>
  <c r="F21" s="1"/>
  <c r="C10" i="27450"/>
  <c r="F8"/>
  <c r="D8"/>
  <c r="F7"/>
  <c r="D7"/>
  <c r="F6"/>
  <c r="N61" s="1"/>
  <c r="P16" i="27441" s="1"/>
  <c r="L16" s="1"/>
  <c r="D6" i="27450"/>
  <c r="L250" i="27444"/>
  <c r="M250"/>
  <c r="K231"/>
  <c r="J231"/>
  <c r="I231"/>
  <c r="H231"/>
  <c r="G231"/>
  <c r="F231"/>
  <c r="E231"/>
  <c r="D231"/>
  <c r="C231"/>
  <c r="M231" s="1"/>
  <c r="B231"/>
  <c r="L231" s="1"/>
  <c r="K230"/>
  <c r="J230"/>
  <c r="I230"/>
  <c r="H230"/>
  <c r="G230"/>
  <c r="F230"/>
  <c r="E230"/>
  <c r="M230" s="1"/>
  <c r="D230"/>
  <c r="B230"/>
  <c r="L230" s="1"/>
  <c r="C229"/>
  <c r="K229"/>
  <c r="J229"/>
  <c r="I229"/>
  <c r="H229"/>
  <c r="G229"/>
  <c r="F229"/>
  <c r="E229"/>
  <c r="D229"/>
  <c r="B229"/>
  <c r="E215"/>
  <c r="K211"/>
  <c r="J211"/>
  <c r="I211"/>
  <c r="H211"/>
  <c r="G211"/>
  <c r="F211"/>
  <c r="E211"/>
  <c r="D211"/>
  <c r="C211"/>
  <c r="M211" s="1"/>
  <c r="K210"/>
  <c r="J210"/>
  <c r="I210"/>
  <c r="H210"/>
  <c r="G210"/>
  <c r="F210"/>
  <c r="E210"/>
  <c r="D210"/>
  <c r="C210"/>
  <c r="M210" s="1"/>
  <c r="B211"/>
  <c r="L211" s="1"/>
  <c r="B210"/>
  <c r="K197"/>
  <c r="J197"/>
  <c r="I197"/>
  <c r="H197"/>
  <c r="G197"/>
  <c r="F197"/>
  <c r="E197"/>
  <c r="D197"/>
  <c r="C197"/>
  <c r="K196"/>
  <c r="J196"/>
  <c r="I196"/>
  <c r="H196"/>
  <c r="G196"/>
  <c r="F196"/>
  <c r="D196"/>
  <c r="C196"/>
  <c r="M196" s="1"/>
  <c r="B197"/>
  <c r="L197" s="1"/>
  <c r="B196"/>
  <c r="K195"/>
  <c r="J195"/>
  <c r="I195"/>
  <c r="H195"/>
  <c r="G195"/>
  <c r="F195"/>
  <c r="E195"/>
  <c r="D195"/>
  <c r="C195"/>
  <c r="B195"/>
  <c r="K185"/>
  <c r="J185"/>
  <c r="I185"/>
  <c r="H185"/>
  <c r="G185"/>
  <c r="F185"/>
  <c r="E185"/>
  <c r="D185"/>
  <c r="C185"/>
  <c r="M185" s="1"/>
  <c r="K184"/>
  <c r="J184"/>
  <c r="I184"/>
  <c r="H184"/>
  <c r="G184"/>
  <c r="F184"/>
  <c r="E184"/>
  <c r="D184"/>
  <c r="C184"/>
  <c r="K183"/>
  <c r="J183"/>
  <c r="I183"/>
  <c r="H183"/>
  <c r="G183"/>
  <c r="F183"/>
  <c r="E183"/>
  <c r="D183"/>
  <c r="C183"/>
  <c r="M183" s="1"/>
  <c r="B185"/>
  <c r="L185" s="1"/>
  <c r="B184"/>
  <c r="B183"/>
  <c r="L183" s="1"/>
  <c r="K182"/>
  <c r="J182"/>
  <c r="I182"/>
  <c r="H182"/>
  <c r="C71" i="27450" s="1"/>
  <c r="G182" i="27444"/>
  <c r="M16" i="27450" s="1"/>
  <c r="F182" i="27444"/>
  <c r="K16" i="27450" s="1"/>
  <c r="E182" i="27444"/>
  <c r="D182"/>
  <c r="G16" i="27450" s="1"/>
  <c r="C182" i="27444"/>
  <c r="E16" i="27450" s="1"/>
  <c r="B182" i="27444"/>
  <c r="K171"/>
  <c r="J171"/>
  <c r="I171"/>
  <c r="H171"/>
  <c r="G171"/>
  <c r="F171"/>
  <c r="E171"/>
  <c r="D171"/>
  <c r="C171"/>
  <c r="M171" s="1"/>
  <c r="K170"/>
  <c r="J170"/>
  <c r="I170"/>
  <c r="H170"/>
  <c r="G170"/>
  <c r="F170"/>
  <c r="E170"/>
  <c r="D170"/>
  <c r="C170"/>
  <c r="M170" s="1"/>
  <c r="K169"/>
  <c r="J169"/>
  <c r="I169"/>
  <c r="H169"/>
  <c r="G169"/>
  <c r="F169"/>
  <c r="E169"/>
  <c r="D169"/>
  <c r="C169"/>
  <c r="B171"/>
  <c r="L171" s="1"/>
  <c r="B170"/>
  <c r="L170" s="1"/>
  <c r="B169"/>
  <c r="K168"/>
  <c r="J168"/>
  <c r="G70" i="27450" s="1"/>
  <c r="I168" i="27444"/>
  <c r="E70" i="27450" s="1"/>
  <c r="H168" i="27444"/>
  <c r="C70" i="27450" s="1"/>
  <c r="G168" i="27444"/>
  <c r="M15" i="27450" s="1"/>
  <c r="F168" i="27444"/>
  <c r="K15" i="27450" s="1"/>
  <c r="E168" i="27444"/>
  <c r="D168"/>
  <c r="G15" i="27450" s="1"/>
  <c r="C168" i="27444"/>
  <c r="E15" i="27450" s="1"/>
  <c r="B168" i="27444"/>
  <c r="C15" i="27450" s="1"/>
  <c r="K142" i="27444"/>
  <c r="J142"/>
  <c r="I142"/>
  <c r="H142"/>
  <c r="G142"/>
  <c r="F142"/>
  <c r="E142"/>
  <c r="D142"/>
  <c r="C142"/>
  <c r="M142" s="1"/>
  <c r="K141"/>
  <c r="I141"/>
  <c r="H141"/>
  <c r="G141"/>
  <c r="F141"/>
  <c r="E141"/>
  <c r="D141"/>
  <c r="C141"/>
  <c r="M141" s="1"/>
  <c r="B142"/>
  <c r="B141"/>
  <c r="K140"/>
  <c r="I140"/>
  <c r="H140"/>
  <c r="G140"/>
  <c r="F140"/>
  <c r="E140"/>
  <c r="D140"/>
  <c r="C140"/>
  <c r="B140"/>
  <c r="E136"/>
  <c r="E131" s="1"/>
  <c r="K131"/>
  <c r="J131"/>
  <c r="I131"/>
  <c r="H131"/>
  <c r="G131"/>
  <c r="D131"/>
  <c r="C131"/>
  <c r="K130"/>
  <c r="J130"/>
  <c r="I130"/>
  <c r="H130"/>
  <c r="G130"/>
  <c r="F130"/>
  <c r="E130"/>
  <c r="D130"/>
  <c r="C130"/>
  <c r="M130" s="1"/>
  <c r="B131"/>
  <c r="B130"/>
  <c r="L130" s="1"/>
  <c r="F131"/>
  <c r="K129"/>
  <c r="J129"/>
  <c r="I129"/>
  <c r="H129"/>
  <c r="G129"/>
  <c r="F129"/>
  <c r="E129"/>
  <c r="D129"/>
  <c r="C129"/>
  <c r="B129"/>
  <c r="K122"/>
  <c r="K121"/>
  <c r="J122"/>
  <c r="J121"/>
  <c r="I122"/>
  <c r="I121"/>
  <c r="H122"/>
  <c r="H121"/>
  <c r="G122"/>
  <c r="G121"/>
  <c r="F122"/>
  <c r="F121"/>
  <c r="E122"/>
  <c r="E121"/>
  <c r="D121"/>
  <c r="C122"/>
  <c r="M122" s="1"/>
  <c r="C121"/>
  <c r="M121" s="1"/>
  <c r="B122"/>
  <c r="K117"/>
  <c r="J117"/>
  <c r="I117"/>
  <c r="F77" i="27450" s="1"/>
  <c r="F76" s="1"/>
  <c r="H117" i="27444"/>
  <c r="D64" i="27450" s="1"/>
  <c r="G117" i="27444"/>
  <c r="F117"/>
  <c r="E117"/>
  <c r="J22" i="27450" s="1"/>
  <c r="D117" i="27444"/>
  <c r="H9" i="27450" s="1"/>
  <c r="C117" i="27444"/>
  <c r="F22" i="27450" s="1"/>
  <c r="F21" s="1"/>
  <c r="B117" i="27444"/>
  <c r="C9" i="27450" s="1"/>
  <c r="B121" i="27444"/>
  <c r="L121" s="1"/>
  <c r="K55"/>
  <c r="J55"/>
  <c r="I55"/>
  <c r="H55"/>
  <c r="G55"/>
  <c r="F55"/>
  <c r="E55"/>
  <c r="D55"/>
  <c r="C55"/>
  <c r="M55" s="1"/>
  <c r="B55"/>
  <c r="L55" s="1"/>
  <c r="J93"/>
  <c r="J92"/>
  <c r="J52" s="1"/>
  <c r="J91"/>
  <c r="J90"/>
  <c r="H93"/>
  <c r="H92"/>
  <c r="H52" s="1"/>
  <c r="H91"/>
  <c r="H90"/>
  <c r="F93"/>
  <c r="F92"/>
  <c r="F52" s="1"/>
  <c r="F91"/>
  <c r="F90"/>
  <c r="K93"/>
  <c r="K92"/>
  <c r="K52" s="1"/>
  <c r="K91"/>
  <c r="K90"/>
  <c r="I93"/>
  <c r="I92"/>
  <c r="I52" s="1"/>
  <c r="I91"/>
  <c r="I90"/>
  <c r="G93"/>
  <c r="G92"/>
  <c r="G52" s="1"/>
  <c r="G91"/>
  <c r="G90"/>
  <c r="E93"/>
  <c r="E92"/>
  <c r="E52" s="1"/>
  <c r="E91"/>
  <c r="E90"/>
  <c r="D93"/>
  <c r="D92"/>
  <c r="D52" s="1"/>
  <c r="D90"/>
  <c r="C93"/>
  <c r="C92"/>
  <c r="M92" s="1"/>
  <c r="C91"/>
  <c r="C90"/>
  <c r="B93"/>
  <c r="L93" s="1"/>
  <c r="B92"/>
  <c r="L92" s="1"/>
  <c r="B91"/>
  <c r="B90"/>
  <c r="K86"/>
  <c r="I86"/>
  <c r="H86"/>
  <c r="G86"/>
  <c r="F86"/>
  <c r="E86"/>
  <c r="K78"/>
  <c r="K53" s="1"/>
  <c r="K77"/>
  <c r="K51" s="1"/>
  <c r="K76"/>
  <c r="K50" s="1"/>
  <c r="K75"/>
  <c r="J78"/>
  <c r="J53" s="1"/>
  <c r="J77"/>
  <c r="J76"/>
  <c r="J75"/>
  <c r="I78"/>
  <c r="I77"/>
  <c r="I51" s="1"/>
  <c r="I76"/>
  <c r="I75"/>
  <c r="H78"/>
  <c r="H53" s="1"/>
  <c r="H77"/>
  <c r="H76"/>
  <c r="H50" s="1"/>
  <c r="H75"/>
  <c r="G78"/>
  <c r="G53" s="1"/>
  <c r="G77"/>
  <c r="G51" s="1"/>
  <c r="G76"/>
  <c r="G50" s="1"/>
  <c r="G75"/>
  <c r="F78"/>
  <c r="F53" s="1"/>
  <c r="F46" s="1"/>
  <c r="K5" i="27450" s="1"/>
  <c r="F77" i="27444"/>
  <c r="F51" s="1"/>
  <c r="F76"/>
  <c r="F50" s="1"/>
  <c r="F75"/>
  <c r="E78"/>
  <c r="E77"/>
  <c r="E51" s="1"/>
  <c r="E76"/>
  <c r="E75"/>
  <c r="D78"/>
  <c r="D53" s="1"/>
  <c r="D77"/>
  <c r="D76"/>
  <c r="D75"/>
  <c r="C78"/>
  <c r="M78" s="1"/>
  <c r="C77"/>
  <c r="M77" s="1"/>
  <c r="C76"/>
  <c r="C75"/>
  <c r="M75" s="1"/>
  <c r="B77"/>
  <c r="B51" s="1"/>
  <c r="B78"/>
  <c r="L78" s="1"/>
  <c r="B75"/>
  <c r="B76"/>
  <c r="L76" s="1"/>
  <c r="K74"/>
  <c r="J74"/>
  <c r="I74"/>
  <c r="H74"/>
  <c r="G74"/>
  <c r="F74"/>
  <c r="E74"/>
  <c r="D74"/>
  <c r="C74"/>
  <c r="B74"/>
  <c r="L41"/>
  <c r="M41"/>
  <c r="N103" i="27450"/>
  <c r="N102"/>
  <c r="N101"/>
  <c r="N100"/>
  <c r="N99"/>
  <c r="N98"/>
  <c r="N97"/>
  <c r="N96"/>
  <c r="N95"/>
  <c r="N94"/>
  <c r="N92"/>
  <c r="P65" i="27441" s="1"/>
  <c r="N91" i="27450"/>
  <c r="P64" i="27441" s="1"/>
  <c r="N90" i="27450"/>
  <c r="P63" i="27441" s="1"/>
  <c r="N89" i="27450"/>
  <c r="P61" i="27441" s="1"/>
  <c r="L61" s="1"/>
  <c r="N88" i="27450"/>
  <c r="P60" i="27441" s="1"/>
  <c r="N87" i="27450"/>
  <c r="N86"/>
  <c r="P58" i="27441" s="1"/>
  <c r="N85" i="27450"/>
  <c r="P56" i="27441" s="1"/>
  <c r="L56" s="1"/>
  <c r="N84" i="27450"/>
  <c r="P54" i="27441" s="1"/>
  <c r="N83" i="27450"/>
  <c r="N82"/>
  <c r="N81"/>
  <c r="N80"/>
  <c r="N79"/>
  <c r="N78"/>
  <c r="N74"/>
  <c r="P43" i="27441" s="1"/>
  <c r="N73" i="27450"/>
  <c r="N72"/>
  <c r="N71"/>
  <c r="N70"/>
  <c r="N69"/>
  <c r="N68"/>
  <c r="P34" i="27441" s="1"/>
  <c r="N66" i="27450"/>
  <c r="P22" i="27441" s="1"/>
  <c r="L22" s="1"/>
  <c r="N62" i="27450"/>
  <c r="P17" i="27441" s="1"/>
  <c r="L17" s="1"/>
  <c r="M103" i="27450"/>
  <c r="M102"/>
  <c r="M101"/>
  <c r="M100"/>
  <c r="M99"/>
  <c r="M98"/>
  <c r="M97"/>
  <c r="M96"/>
  <c r="M95"/>
  <c r="M94"/>
  <c r="M92"/>
  <c r="O65" i="27441" s="1"/>
  <c r="M91" i="27450"/>
  <c r="O64" i="27441" s="1"/>
  <c r="M90" i="27450"/>
  <c r="O63" i="27441" s="1"/>
  <c r="M89" i="27450"/>
  <c r="O61" i="27441" s="1"/>
  <c r="M88" i="27450"/>
  <c r="O60" i="27441" s="1"/>
  <c r="M87" i="27450"/>
  <c r="O59" i="27441" s="1"/>
  <c r="M86" i="27450"/>
  <c r="M85"/>
  <c r="O58" i="27441" s="1"/>
  <c r="M83" i="27450"/>
  <c r="M82"/>
  <c r="O52" i="27441" s="1"/>
  <c r="K52" s="1"/>
  <c r="M81" i="27450"/>
  <c r="O51" i="27441" s="1"/>
  <c r="M80" i="27450"/>
  <c r="O50" i="27441" s="1"/>
  <c r="K50" s="1"/>
  <c r="M79" i="27450"/>
  <c r="O49" i="27441" s="1"/>
  <c r="K49" s="1"/>
  <c r="M78" i="27450"/>
  <c r="O47" i="27441" s="1"/>
  <c r="M77" i="27450"/>
  <c r="O46" i="27441" s="1"/>
  <c r="K46" s="1"/>
  <c r="M75" i="27450"/>
  <c r="M73"/>
  <c r="O42" i="27441" s="1"/>
  <c r="M68" i="27450"/>
  <c r="M66"/>
  <c r="O22" i="27441" s="1"/>
  <c r="L103" i="27450"/>
  <c r="L102"/>
  <c r="L101"/>
  <c r="L100"/>
  <c r="L99"/>
  <c r="L98"/>
  <c r="L97"/>
  <c r="L96"/>
  <c r="L95"/>
  <c r="L94"/>
  <c r="L92"/>
  <c r="J65" i="27441" s="1"/>
  <c r="F65" s="1"/>
  <c r="L91" i="27450"/>
  <c r="J64" i="27441" s="1"/>
  <c r="L90" i="27450"/>
  <c r="J63" i="27441" s="1"/>
  <c r="L89" i="27450"/>
  <c r="J61" i="27441" s="1"/>
  <c r="F61" s="1"/>
  <c r="L88" i="27450"/>
  <c r="J60" i="27441" s="1"/>
  <c r="L87" i="27450"/>
  <c r="J59" i="27441" s="1"/>
  <c r="L86" i="27450"/>
  <c r="J58" i="27441" s="1"/>
  <c r="L85" i="27450"/>
  <c r="J56" i="27441" s="1"/>
  <c r="F56" s="1"/>
  <c r="L84" i="27450"/>
  <c r="J54" i="27441" s="1"/>
  <c r="L75" i="27450"/>
  <c r="J44" i="27441" s="1"/>
  <c r="L74" i="27450"/>
  <c r="L73"/>
  <c r="J43" i="27441" s="1"/>
  <c r="L72" i="27450"/>
  <c r="L71"/>
  <c r="L70"/>
  <c r="L69"/>
  <c r="L68"/>
  <c r="J34" i="27441" s="1"/>
  <c r="L66" i="27450"/>
  <c r="J22" i="27441" s="1"/>
  <c r="F22" s="1"/>
  <c r="L62" i="27450"/>
  <c r="J17" i="27441" s="1"/>
  <c r="F17" s="1"/>
  <c r="L61" i="27450"/>
  <c r="J16" i="27441" s="1"/>
  <c r="F16" s="1"/>
  <c r="K103" i="27450"/>
  <c r="K102"/>
  <c r="K101"/>
  <c r="K100"/>
  <c r="K99"/>
  <c r="K98"/>
  <c r="K97"/>
  <c r="K96"/>
  <c r="K95"/>
  <c r="K94"/>
  <c r="K92"/>
  <c r="I65" i="27441" s="1"/>
  <c r="K91" i="27450"/>
  <c r="I64" i="27441" s="1"/>
  <c r="K90" i="27450"/>
  <c r="I63" i="27441" s="1"/>
  <c r="K89" i="27450"/>
  <c r="I61" i="27441" s="1"/>
  <c r="K88" i="27450"/>
  <c r="I59" i="27441" s="1"/>
  <c r="K87" i="27450"/>
  <c r="K86"/>
  <c r="I58" i="27441" s="1"/>
  <c r="K85" i="27450"/>
  <c r="I56" i="27441" s="1"/>
  <c r="K75" i="27450"/>
  <c r="K66"/>
  <c r="I22" i="27441" s="1"/>
  <c r="N45"/>
  <c r="M45"/>
  <c r="N43"/>
  <c r="H43"/>
  <c r="H44"/>
  <c r="M42"/>
  <c r="G42"/>
  <c r="M37"/>
  <c r="M36"/>
  <c r="G36"/>
  <c r="M35"/>
  <c r="G35"/>
  <c r="N34"/>
  <c r="H34"/>
  <c r="G34"/>
  <c r="M32"/>
  <c r="M23"/>
  <c r="M22"/>
  <c r="M19"/>
  <c r="M21"/>
  <c r="G23"/>
  <c r="G22"/>
  <c r="G21"/>
  <c r="G19"/>
  <c r="X11" i="27451"/>
  <c r="J30"/>
  <c r="J26" s="1"/>
  <c r="V30"/>
  <c r="U30"/>
  <c r="T30"/>
  <c r="S30"/>
  <c r="R30"/>
  <c r="Q30"/>
  <c r="P30"/>
  <c r="O30"/>
  <c r="N30"/>
  <c r="M30"/>
  <c r="L30"/>
  <c r="K30"/>
  <c r="I30"/>
  <c r="H30"/>
  <c r="G30"/>
  <c r="F30"/>
  <c r="E30"/>
  <c r="D30"/>
  <c r="C30"/>
  <c r="V26"/>
  <c r="U26"/>
  <c r="T26"/>
  <c r="S26"/>
  <c r="R26"/>
  <c r="Q26"/>
  <c r="P26"/>
  <c r="O26"/>
  <c r="N26"/>
  <c r="M26"/>
  <c r="L26"/>
  <c r="K26"/>
  <c r="I26"/>
  <c r="H26"/>
  <c r="G26"/>
  <c r="F26"/>
  <c r="E26"/>
  <c r="C26"/>
  <c r="L69" i="27441"/>
  <c r="K69"/>
  <c r="L53"/>
  <c r="L52"/>
  <c r="L51"/>
  <c r="L50"/>
  <c r="L49"/>
  <c r="L47"/>
  <c r="L42"/>
  <c r="L41"/>
  <c r="L40"/>
  <c r="L39"/>
  <c r="L38"/>
  <c r="L37"/>
  <c r="L36"/>
  <c r="L35"/>
  <c r="L33"/>
  <c r="L32"/>
  <c r="L31"/>
  <c r="L29"/>
  <c r="L28"/>
  <c r="L27"/>
  <c r="L26"/>
  <c r="L24"/>
  <c r="K53"/>
  <c r="K41"/>
  <c r="K39"/>
  <c r="K38"/>
  <c r="K32"/>
  <c r="F53"/>
  <c r="F42"/>
  <c r="F41"/>
  <c r="F40"/>
  <c r="F39"/>
  <c r="F38"/>
  <c r="F37"/>
  <c r="F36"/>
  <c r="F35"/>
  <c r="F33"/>
  <c r="F32"/>
  <c r="F31"/>
  <c r="F29"/>
  <c r="F28"/>
  <c r="F27"/>
  <c r="F26"/>
  <c r="F24"/>
  <c r="F79"/>
  <c r="F69"/>
  <c r="E53"/>
  <c r="E41"/>
  <c r="E39"/>
  <c r="E38"/>
  <c r="G536" i="27436"/>
  <c r="G535"/>
  <c r="G534"/>
  <c r="D536"/>
  <c r="D535"/>
  <c r="D534"/>
  <c r="G530"/>
  <c r="D530"/>
  <c r="H514"/>
  <c r="H512"/>
  <c r="E514"/>
  <c r="E512"/>
  <c r="G508"/>
  <c r="D508"/>
  <c r="G514"/>
  <c r="G513"/>
  <c r="D514"/>
  <c r="D513"/>
  <c r="G468"/>
  <c r="D468"/>
  <c r="G478"/>
  <c r="G477"/>
  <c r="G476"/>
  <c r="G475"/>
  <c r="D478"/>
  <c r="D477"/>
  <c r="D476"/>
  <c r="D475"/>
  <c r="G459"/>
  <c r="G460"/>
  <c r="D459"/>
  <c r="D460"/>
  <c r="G434"/>
  <c r="G442"/>
  <c r="G441"/>
  <c r="G440"/>
  <c r="G439"/>
  <c r="G438"/>
  <c r="D442"/>
  <c r="D441"/>
  <c r="D439"/>
  <c r="D438"/>
  <c r="G410"/>
  <c r="D410"/>
  <c r="G418"/>
  <c r="G417"/>
  <c r="G416"/>
  <c r="G415"/>
  <c r="G414"/>
  <c r="D418"/>
  <c r="D417"/>
  <c r="D415"/>
  <c r="G55" i="27441" s="1"/>
  <c r="D414" i="27436"/>
  <c r="G334"/>
  <c r="D334"/>
  <c r="G336"/>
  <c r="D336"/>
  <c r="G323"/>
  <c r="D323"/>
  <c r="G328"/>
  <c r="G327"/>
  <c r="D327"/>
  <c r="D328"/>
  <c r="D297"/>
  <c r="G301"/>
  <c r="D302"/>
  <c r="D301"/>
  <c r="G285"/>
  <c r="D285"/>
  <c r="G284"/>
  <c r="D284"/>
  <c r="G282"/>
  <c r="G275" s="1"/>
  <c r="D272"/>
  <c r="G274"/>
  <c r="D275"/>
  <c r="D274"/>
  <c r="G218"/>
  <c r="D218"/>
  <c r="G227"/>
  <c r="G226"/>
  <c r="G225"/>
  <c r="D227"/>
  <c r="D226"/>
  <c r="D225"/>
  <c r="G193"/>
  <c r="D193"/>
  <c r="G198"/>
  <c r="G197"/>
  <c r="D199"/>
  <c r="D198"/>
  <c r="D197"/>
  <c r="G165"/>
  <c r="G171"/>
  <c r="D171"/>
  <c r="G172"/>
  <c r="G170"/>
  <c r="G169"/>
  <c r="D172"/>
  <c r="D170"/>
  <c r="D169"/>
  <c r="G157"/>
  <c r="G156"/>
  <c r="G155"/>
  <c r="D157"/>
  <c r="D156"/>
  <c r="D155"/>
  <c r="G153"/>
  <c r="D153"/>
  <c r="C100"/>
  <c r="F342" l="1"/>
  <c r="J51" i="27444"/>
  <c r="L63" i="27450"/>
  <c r="J18" i="27441" s="1"/>
  <c r="F18" s="1"/>
  <c r="C64" i="27450"/>
  <c r="D60"/>
  <c r="H51" i="27444"/>
  <c r="C84" i="27450"/>
  <c r="L184" i="27444"/>
  <c r="L122"/>
  <c r="H5" i="27450"/>
  <c r="G9"/>
  <c r="G69" i="27441"/>
  <c r="E69" s="1"/>
  <c r="E55"/>
  <c r="M197" i="27444"/>
  <c r="I50"/>
  <c r="E84" i="27450" s="1"/>
  <c r="M184" i="27444"/>
  <c r="M131"/>
  <c r="N22" i="27450"/>
  <c r="N21" s="1"/>
  <c r="N9"/>
  <c r="E50" i="27444"/>
  <c r="K22" i="27441"/>
  <c r="E22"/>
  <c r="D5" i="27450"/>
  <c r="D9"/>
  <c r="L64" s="1"/>
  <c r="J19" i="27441" s="1"/>
  <c r="F19" s="1"/>
  <c r="L94" i="27444"/>
  <c r="J50"/>
  <c r="L142"/>
  <c r="K70" i="27450"/>
  <c r="I36" i="27441" s="1"/>
  <c r="K71" i="27450"/>
  <c r="I37" i="27441" s="1"/>
  <c r="L210" i="27444"/>
  <c r="L196"/>
  <c r="L131"/>
  <c r="L90"/>
  <c r="D50"/>
  <c r="M71" i="27450"/>
  <c r="O37" i="27441" s="1"/>
  <c r="K37" s="1"/>
  <c r="M76" i="27450"/>
  <c r="O45" i="27441" s="1"/>
  <c r="K45" s="1"/>
  <c r="K65" i="27450"/>
  <c r="I21" i="27441" s="1"/>
  <c r="E21" s="1"/>
  <c r="K67" i="27450"/>
  <c r="I23" i="27441" s="1"/>
  <c r="F23" s="1"/>
  <c r="E23" s="1"/>
  <c r="M67" i="27450"/>
  <c r="O34" i="27441" s="1"/>
  <c r="K34" s="1"/>
  <c r="C188" i="27436"/>
  <c r="F9" i="27450"/>
  <c r="F5"/>
  <c r="E9"/>
  <c r="N75"/>
  <c r="P44" i="27441" s="1"/>
  <c r="L44" s="1"/>
  <c r="M70" i="27450"/>
  <c r="O36" i="27441" s="1"/>
  <c r="K36" s="1"/>
  <c r="F60" i="27450"/>
  <c r="E64"/>
  <c r="M65"/>
  <c r="O21" i="27441" s="1"/>
  <c r="K21" s="1"/>
  <c r="F64" i="27450"/>
  <c r="I53" i="27444"/>
  <c r="N5" i="27450"/>
  <c r="M9"/>
  <c r="M76" i="27444"/>
  <c r="I84" i="27450"/>
  <c r="J21"/>
  <c r="N77"/>
  <c r="J5"/>
  <c r="I9"/>
  <c r="J9"/>
  <c r="E53" i="27444"/>
  <c r="M93"/>
  <c r="M91"/>
  <c r="M90"/>
  <c r="F43" i="27441"/>
  <c r="F44"/>
  <c r="K42"/>
  <c r="L34"/>
  <c r="L43"/>
  <c r="E36"/>
  <c r="F34"/>
  <c r="N63" i="27450"/>
  <c r="P18" i="27441" s="1"/>
  <c r="L18" s="1"/>
  <c r="K68" i="27450"/>
  <c r="I34" i="27441" s="1"/>
  <c r="E34" s="1"/>
  <c r="B53" i="27444"/>
  <c r="L53" s="1"/>
  <c r="C51"/>
  <c r="M51" s="1"/>
  <c r="C53"/>
  <c r="M53" s="1"/>
  <c r="C50"/>
  <c r="M50" s="1"/>
  <c r="L75"/>
  <c r="L77"/>
  <c r="B50"/>
  <c r="C29" i="27450" s="1"/>
  <c r="B52" i="27444"/>
  <c r="L52" s="1"/>
  <c r="C52"/>
  <c r="M52" s="1"/>
  <c r="I72" i="27441"/>
  <c r="I73"/>
  <c r="I77"/>
  <c r="I79"/>
  <c r="F54"/>
  <c r="J68"/>
  <c r="F68" s="1"/>
  <c r="J72"/>
  <c r="F72" s="1"/>
  <c r="F58"/>
  <c r="J74"/>
  <c r="F74" s="1"/>
  <c r="F60"/>
  <c r="J77"/>
  <c r="F63"/>
  <c r="O74"/>
  <c r="O77"/>
  <c r="O79"/>
  <c r="L54"/>
  <c r="P68"/>
  <c r="L68" s="1"/>
  <c r="P72"/>
  <c r="L72" s="1"/>
  <c r="L58"/>
  <c r="P74"/>
  <c r="L74" s="1"/>
  <c r="L60"/>
  <c r="L63"/>
  <c r="P77"/>
  <c r="L65"/>
  <c r="P79"/>
  <c r="L79" s="1"/>
  <c r="I78"/>
  <c r="J73"/>
  <c r="F73" s="1"/>
  <c r="F59"/>
  <c r="J78"/>
  <c r="F78" s="1"/>
  <c r="F64"/>
  <c r="O72"/>
  <c r="O73"/>
  <c r="O78"/>
  <c r="P78"/>
  <c r="L78" s="1"/>
  <c r="L64"/>
  <c r="I60"/>
  <c r="O56"/>
  <c r="P59"/>
  <c r="P23"/>
  <c r="L23" s="1"/>
  <c r="G272" i="27436"/>
  <c r="O75" i="27441"/>
  <c r="O70"/>
  <c r="J70"/>
  <c r="F70" s="1"/>
  <c r="D165" i="27436"/>
  <c r="D653"/>
  <c r="J86" i="27444"/>
  <c r="D56" i="27445"/>
  <c r="D91" i="27436"/>
  <c r="G43" i="27441" s="1"/>
  <c r="G148" i="27436"/>
  <c r="G142"/>
  <c r="D148"/>
  <c r="D142"/>
  <c r="G570"/>
  <c r="D570"/>
  <c r="F616"/>
  <c r="C616"/>
  <c r="F594"/>
  <c r="C594"/>
  <c r="G405"/>
  <c r="D405"/>
  <c r="F421"/>
  <c r="C421"/>
  <c r="F339"/>
  <c r="F338"/>
  <c r="F337"/>
  <c r="F335"/>
  <c r="C339"/>
  <c r="C338"/>
  <c r="C337"/>
  <c r="C335"/>
  <c r="G322"/>
  <c r="G320"/>
  <c r="G319"/>
  <c r="G318"/>
  <c r="G314"/>
  <c r="G313"/>
  <c r="D322"/>
  <c r="D320"/>
  <c r="D314"/>
  <c r="D313"/>
  <c r="F332"/>
  <c r="C332"/>
  <c r="G256"/>
  <c r="D256"/>
  <c r="F256"/>
  <c r="C256"/>
  <c r="F303"/>
  <c r="C303"/>
  <c r="G261"/>
  <c r="D261"/>
  <c r="D9" i="27461"/>
  <c r="C9"/>
  <c r="D110"/>
  <c r="D100"/>
  <c r="D97"/>
  <c r="D95"/>
  <c r="D82"/>
  <c r="D60"/>
  <c r="D53"/>
  <c r="D54" s="1"/>
  <c r="D43"/>
  <c r="D42" s="1"/>
  <c r="D34"/>
  <c r="D33"/>
  <c r="D27"/>
  <c r="D24"/>
  <c r="D18"/>
  <c r="D17"/>
  <c r="D14"/>
  <c r="D12"/>
  <c r="D148"/>
  <c r="D127"/>
  <c r="C127"/>
  <c r="D126"/>
  <c r="C126"/>
  <c r="D125"/>
  <c r="C125"/>
  <c r="D121"/>
  <c r="D120" s="1"/>
  <c r="C121"/>
  <c r="C120" s="1"/>
  <c r="D124"/>
  <c r="C124"/>
  <c r="D119"/>
  <c r="C119"/>
  <c r="C110"/>
  <c r="C100"/>
  <c r="C97"/>
  <c r="C95"/>
  <c r="C82"/>
  <c r="C53"/>
  <c r="C54" s="1"/>
  <c r="C43"/>
  <c r="C42" s="1"/>
  <c r="C34"/>
  <c r="C33"/>
  <c r="E33"/>
  <c r="C27"/>
  <c r="C24"/>
  <c r="C18"/>
  <c r="C17"/>
  <c r="C14"/>
  <c r="C12"/>
  <c r="C33" i="27457"/>
  <c r="E129" i="27456"/>
  <c r="E128" s="1"/>
  <c r="E103"/>
  <c r="E100"/>
  <c r="C16"/>
  <c r="C16" i="27459"/>
  <c r="C17"/>
  <c r="E68" i="27457"/>
  <c r="F10" i="27460"/>
  <c r="F7"/>
  <c r="F6"/>
  <c r="E10"/>
  <c r="D47" i="27457"/>
  <c r="N76" i="27450" l="1"/>
  <c r="G84"/>
  <c r="K64"/>
  <c r="I19" i="27441" s="1"/>
  <c r="E19" s="1"/>
  <c r="L60" i="27450"/>
  <c r="J14" i="27441" s="1"/>
  <c r="F14" s="1"/>
  <c r="O23"/>
  <c r="K23" s="1"/>
  <c r="L50" i="27444"/>
  <c r="N60" i="27450"/>
  <c r="M64"/>
  <c r="O18" i="27441" s="1"/>
  <c r="P46"/>
  <c r="L46" s="1"/>
  <c r="P45"/>
  <c r="L45" s="1"/>
  <c r="N64" i="27450"/>
  <c r="P21" i="27441" s="1"/>
  <c r="L21" s="1"/>
  <c r="O19"/>
  <c r="K19" s="1"/>
  <c r="D16" i="27461"/>
  <c r="D86" i="27444"/>
  <c r="D91"/>
  <c r="J75" i="27441"/>
  <c r="F75" s="1"/>
  <c r="F77"/>
  <c r="I75"/>
  <c r="P73"/>
  <c r="L59"/>
  <c r="I74"/>
  <c r="P75"/>
  <c r="L75" s="1"/>
  <c r="L77"/>
  <c r="D26" i="27461"/>
  <c r="D440" i="27436"/>
  <c r="D93" i="27461"/>
  <c r="D8"/>
  <c r="D76"/>
  <c r="C93"/>
  <c r="C76" s="1"/>
  <c r="C26"/>
  <c r="C16"/>
  <c r="C8"/>
  <c r="D141" i="27457"/>
  <c r="D347" i="27436"/>
  <c r="D10" i="27460"/>
  <c r="F97" i="27436"/>
  <c r="G500"/>
  <c r="L239" i="27444"/>
  <c r="G100" i="27461"/>
  <c r="K100"/>
  <c r="H240" i="27444"/>
  <c r="F209"/>
  <c r="D149" i="27436"/>
  <c r="D216"/>
  <c r="D374"/>
  <c r="G37" i="27441" s="1"/>
  <c r="E37" s="1"/>
  <c r="D620" i="27436"/>
  <c r="D577"/>
  <c r="F545"/>
  <c r="D359"/>
  <c r="G359"/>
  <c r="F380"/>
  <c r="C380"/>
  <c r="L97" i="27461"/>
  <c r="J97"/>
  <c r="I97"/>
  <c r="H97"/>
  <c r="F97"/>
  <c r="E97"/>
  <c r="G97"/>
  <c r="G82"/>
  <c r="L148"/>
  <c r="J148"/>
  <c r="H148"/>
  <c r="F148"/>
  <c r="L127"/>
  <c r="K127"/>
  <c r="J127"/>
  <c r="I127"/>
  <c r="H127"/>
  <c r="G127"/>
  <c r="F127"/>
  <c r="L126"/>
  <c r="K126"/>
  <c r="J126"/>
  <c r="I126"/>
  <c r="H126"/>
  <c r="G126"/>
  <c r="F126"/>
  <c r="L125"/>
  <c r="K125"/>
  <c r="J125"/>
  <c r="I125"/>
  <c r="H125"/>
  <c r="G125"/>
  <c r="F125"/>
  <c r="L124"/>
  <c r="K124"/>
  <c r="J124"/>
  <c r="I124"/>
  <c r="H124"/>
  <c r="G124"/>
  <c r="F124"/>
  <c r="L121"/>
  <c r="L120" s="1"/>
  <c r="K121"/>
  <c r="K120" s="1"/>
  <c r="J121"/>
  <c r="I121"/>
  <c r="H121"/>
  <c r="G121"/>
  <c r="F121"/>
  <c r="F120" s="1"/>
  <c r="L119"/>
  <c r="K119"/>
  <c r="J119"/>
  <c r="I119"/>
  <c r="H119"/>
  <c r="G119"/>
  <c r="F119"/>
  <c r="L110"/>
  <c r="K110"/>
  <c r="J110"/>
  <c r="I110"/>
  <c r="H110"/>
  <c r="G110"/>
  <c r="F110"/>
  <c r="L100"/>
  <c r="J100"/>
  <c r="H100"/>
  <c r="F100"/>
  <c r="L95"/>
  <c r="K95"/>
  <c r="J95"/>
  <c r="I95"/>
  <c r="H95"/>
  <c r="G95"/>
  <c r="F95"/>
  <c r="E110"/>
  <c r="E127"/>
  <c r="E126"/>
  <c r="E125"/>
  <c r="E124"/>
  <c r="E121"/>
  <c r="E120" s="1"/>
  <c r="J120"/>
  <c r="I120"/>
  <c r="H120"/>
  <c r="G120"/>
  <c r="E119"/>
  <c r="E100"/>
  <c r="E95"/>
  <c r="L82"/>
  <c r="K82"/>
  <c r="J82"/>
  <c r="I82"/>
  <c r="H82"/>
  <c r="F82"/>
  <c r="E82"/>
  <c r="L60"/>
  <c r="K60"/>
  <c r="J60"/>
  <c r="I60"/>
  <c r="H60"/>
  <c r="G60"/>
  <c r="F60"/>
  <c r="E60"/>
  <c r="L53"/>
  <c r="L54" s="1"/>
  <c r="K53"/>
  <c r="K54" s="1"/>
  <c r="J53"/>
  <c r="J54" s="1"/>
  <c r="I53"/>
  <c r="I54" s="1"/>
  <c r="H53"/>
  <c r="H54" s="1"/>
  <c r="G53"/>
  <c r="G54" s="1"/>
  <c r="F53"/>
  <c r="F54" s="1"/>
  <c r="E53"/>
  <c r="E54" s="1"/>
  <c r="L43"/>
  <c r="K43"/>
  <c r="K42" s="1"/>
  <c r="J43"/>
  <c r="J42" s="1"/>
  <c r="I43"/>
  <c r="I42" s="1"/>
  <c r="H43"/>
  <c r="H42" s="1"/>
  <c r="G43"/>
  <c r="G42" s="1"/>
  <c r="F43"/>
  <c r="F42" s="1"/>
  <c r="E43"/>
  <c r="E42" s="1"/>
  <c r="L34"/>
  <c r="K34"/>
  <c r="J34"/>
  <c r="I34"/>
  <c r="H34"/>
  <c r="G34"/>
  <c r="F34"/>
  <c r="E34"/>
  <c r="L33"/>
  <c r="K33"/>
  <c r="J33"/>
  <c r="I33"/>
  <c r="H33"/>
  <c r="G33"/>
  <c r="F33"/>
  <c r="L29"/>
  <c r="K29"/>
  <c r="J29"/>
  <c r="I29"/>
  <c r="H29"/>
  <c r="G29"/>
  <c r="F29"/>
  <c r="E29"/>
  <c r="L27"/>
  <c r="K27"/>
  <c r="J27"/>
  <c r="I27"/>
  <c r="H27"/>
  <c r="G27"/>
  <c r="F27"/>
  <c r="E27"/>
  <c r="L24"/>
  <c r="K24"/>
  <c r="J24"/>
  <c r="I24"/>
  <c r="H24"/>
  <c r="G24"/>
  <c r="F24"/>
  <c r="E24"/>
  <c r="L18"/>
  <c r="K18"/>
  <c r="J18"/>
  <c r="I18"/>
  <c r="H18"/>
  <c r="G18"/>
  <c r="F18"/>
  <c r="L17"/>
  <c r="K17"/>
  <c r="J17"/>
  <c r="I17"/>
  <c r="H17"/>
  <c r="G17"/>
  <c r="F17"/>
  <c r="L14"/>
  <c r="K14"/>
  <c r="J14"/>
  <c r="I14"/>
  <c r="H14"/>
  <c r="G14"/>
  <c r="F14"/>
  <c r="L12"/>
  <c r="K12"/>
  <c r="J12"/>
  <c r="I12"/>
  <c r="H12"/>
  <c r="G12"/>
  <c r="F12"/>
  <c r="E12"/>
  <c r="L9"/>
  <c r="J9"/>
  <c r="I9"/>
  <c r="H9"/>
  <c r="G9"/>
  <c r="F9"/>
  <c r="E9"/>
  <c r="E18"/>
  <c r="E17"/>
  <c r="E14"/>
  <c r="L42"/>
  <c r="K26" l="1"/>
  <c r="D7"/>
  <c r="P19" i="27441"/>
  <c r="L19" s="1"/>
  <c r="L91" i="27444"/>
  <c r="D51"/>
  <c r="E16" i="27461"/>
  <c r="G16"/>
  <c r="F26"/>
  <c r="J26"/>
  <c r="L26"/>
  <c r="I70" i="27441"/>
  <c r="L73"/>
  <c r="P70"/>
  <c r="E8" i="27461"/>
  <c r="E7" s="1"/>
  <c r="H16"/>
  <c r="I26"/>
  <c r="E26"/>
  <c r="K8"/>
  <c r="K16"/>
  <c r="I8"/>
  <c r="I16"/>
  <c r="G26"/>
  <c r="H26"/>
  <c r="C7"/>
  <c r="H8"/>
  <c r="H7" s="1"/>
  <c r="G8"/>
  <c r="G7" s="1"/>
  <c r="L16"/>
  <c r="D397" i="27436"/>
  <c r="J16" i="27461"/>
  <c r="J8"/>
  <c r="I100"/>
  <c r="I93" s="1"/>
  <c r="I76" s="1"/>
  <c r="G93"/>
  <c r="G76" s="1"/>
  <c r="L8"/>
  <c r="F16"/>
  <c r="F8"/>
  <c r="J93"/>
  <c r="J76" s="1"/>
  <c r="H93"/>
  <c r="H76" s="1"/>
  <c r="L93"/>
  <c r="L76" s="1"/>
  <c r="F93"/>
  <c r="F76" s="1"/>
  <c r="E93"/>
  <c r="E76" s="1"/>
  <c r="E104" i="27458"/>
  <c r="E80" i="27457"/>
  <c r="C99"/>
  <c r="L201" i="27444"/>
  <c r="E389" i="27436" s="1"/>
  <c r="C389" s="1"/>
  <c r="C119" i="27457"/>
  <c r="D502" i="27436"/>
  <c r="G501"/>
  <c r="E63" i="27444"/>
  <c r="F67" i="27461" s="1"/>
  <c r="E115" i="27456"/>
  <c r="C115"/>
  <c r="E125" i="27459"/>
  <c r="E117"/>
  <c r="E119"/>
  <c r="C119"/>
  <c r="C97"/>
  <c r="E8" i="27457"/>
  <c r="U38" i="27454"/>
  <c r="D355" i="27436"/>
  <c r="D145"/>
  <c r="B68" i="27452" s="1"/>
  <c r="G253" i="27436"/>
  <c r="G254"/>
  <c r="G255"/>
  <c r="D5" i="27452" s="1"/>
  <c r="G262" i="27436"/>
  <c r="D20" i="27452" s="1"/>
  <c r="G263" i="27436"/>
  <c r="D21" i="27452" s="1"/>
  <c r="B162" i="27457"/>
  <c r="B181" i="27458"/>
  <c r="E132"/>
  <c r="E95"/>
  <c r="L214" i="27444"/>
  <c r="E526" i="27436" s="1"/>
  <c r="C114" i="27457"/>
  <c r="L109" i="27444"/>
  <c r="E187" i="27436" s="1"/>
  <c r="C82" i="27457"/>
  <c r="D223" i="27444"/>
  <c r="B10" i="27460"/>
  <c r="C209" i="27444"/>
  <c r="D146" i="27436"/>
  <c r="B69" i="27452" s="1"/>
  <c r="G145" i="27436"/>
  <c r="F313" i="27446"/>
  <c r="C313"/>
  <c r="H312"/>
  <c r="G312"/>
  <c r="F312"/>
  <c r="E312"/>
  <c r="D312"/>
  <c r="C312"/>
  <c r="C311"/>
  <c r="F311"/>
  <c r="F305"/>
  <c r="C305"/>
  <c r="F298"/>
  <c r="C298"/>
  <c r="G284"/>
  <c r="D284"/>
  <c r="C284"/>
  <c r="F278"/>
  <c r="F276"/>
  <c r="C278"/>
  <c r="C276"/>
  <c r="C272"/>
  <c r="F272"/>
  <c r="F245"/>
  <c r="C245"/>
  <c r="H244"/>
  <c r="G244"/>
  <c r="F244"/>
  <c r="E244"/>
  <c r="D244"/>
  <c r="H222"/>
  <c r="E222"/>
  <c r="G222"/>
  <c r="D222"/>
  <c r="H218"/>
  <c r="E218"/>
  <c r="G218"/>
  <c r="F218"/>
  <c r="D218"/>
  <c r="H209"/>
  <c r="G209"/>
  <c r="E209"/>
  <c r="D209"/>
  <c r="F238"/>
  <c r="F237"/>
  <c r="F236"/>
  <c r="F235"/>
  <c r="F234"/>
  <c r="F233"/>
  <c r="F232"/>
  <c r="F231"/>
  <c r="F230"/>
  <c r="F229"/>
  <c r="F228"/>
  <c r="F227"/>
  <c r="F226"/>
  <c r="F225"/>
  <c r="F224"/>
  <c r="F223"/>
  <c r="F222"/>
  <c r="C238"/>
  <c r="C237"/>
  <c r="C236"/>
  <c r="C235"/>
  <c r="C234"/>
  <c r="C233"/>
  <c r="C232"/>
  <c r="C231"/>
  <c r="C230"/>
  <c r="C229"/>
  <c r="C228"/>
  <c r="C227"/>
  <c r="C226"/>
  <c r="C225"/>
  <c r="C224"/>
  <c r="C223"/>
  <c r="C222"/>
  <c r="F221"/>
  <c r="F220"/>
  <c r="F219"/>
  <c r="F217"/>
  <c r="F216"/>
  <c r="F215"/>
  <c r="F214"/>
  <c r="F213"/>
  <c r="F212"/>
  <c r="F211"/>
  <c r="F210"/>
  <c r="F209"/>
  <c r="C221"/>
  <c r="C220"/>
  <c r="C219"/>
  <c r="C218"/>
  <c r="C217"/>
  <c r="C216"/>
  <c r="C215"/>
  <c r="C214"/>
  <c r="C213"/>
  <c r="C212"/>
  <c r="C211"/>
  <c r="C210"/>
  <c r="F201"/>
  <c r="D189"/>
  <c r="C189"/>
  <c r="H178"/>
  <c r="F178"/>
  <c r="E178"/>
  <c r="H174"/>
  <c r="E174"/>
  <c r="H169"/>
  <c r="E169"/>
  <c r="D178"/>
  <c r="C178"/>
  <c r="D174"/>
  <c r="C174"/>
  <c r="D169"/>
  <c r="F182"/>
  <c r="C182"/>
  <c r="F181"/>
  <c r="C181"/>
  <c r="F180"/>
  <c r="C180"/>
  <c r="F179"/>
  <c r="C179"/>
  <c r="F177"/>
  <c r="C177"/>
  <c r="F176"/>
  <c r="C176"/>
  <c r="F175"/>
  <c r="C175"/>
  <c r="F173"/>
  <c r="F172"/>
  <c r="C173"/>
  <c r="C172"/>
  <c r="F174"/>
  <c r="F171"/>
  <c r="C171"/>
  <c r="F170"/>
  <c r="C170"/>
  <c r="C169"/>
  <c r="F150"/>
  <c r="C150"/>
  <c r="H139"/>
  <c r="G139"/>
  <c r="F139"/>
  <c r="E139"/>
  <c r="D139"/>
  <c r="C139"/>
  <c r="F141"/>
  <c r="F140"/>
  <c r="C141"/>
  <c r="C140"/>
  <c r="E111" i="27456"/>
  <c r="E70" i="27459"/>
  <c r="E51" s="1"/>
  <c r="E134" i="27457"/>
  <c r="C101"/>
  <c r="E92"/>
  <c r="E82"/>
  <c r="E84"/>
  <c r="F32" i="27444"/>
  <c r="D551" i="27436"/>
  <c r="G620"/>
  <c r="C132" i="27458"/>
  <c r="C65" i="27459"/>
  <c r="C64"/>
  <c r="C93"/>
  <c r="C128" i="27456"/>
  <c r="C67"/>
  <c r="C66"/>
  <c r="N99" i="27452"/>
  <c r="L73"/>
  <c r="C73"/>
  <c r="N48"/>
  <c r="F22"/>
  <c r="O22" s="1"/>
  <c r="L23"/>
  <c r="C23"/>
  <c r="D358" i="27436"/>
  <c r="D362"/>
  <c r="F72" i="27452" s="1"/>
  <c r="O72" s="1"/>
  <c r="M193" i="27444"/>
  <c r="H379" i="27436" s="1"/>
  <c r="L193" i="27444"/>
  <c r="E379" i="27436" s="1"/>
  <c r="W38" i="27454"/>
  <c r="B32" i="27444"/>
  <c r="C98" i="27436"/>
  <c r="D263"/>
  <c r="D259"/>
  <c r="E93" i="27459"/>
  <c r="E77" i="27457"/>
  <c r="E54" s="1"/>
  <c r="E94" i="27456"/>
  <c r="E85"/>
  <c r="D262" i="27436"/>
  <c r="F463"/>
  <c r="E90" i="27456"/>
  <c r="E91"/>
  <c r="C103"/>
  <c r="C90"/>
  <c r="E127" i="27459"/>
  <c r="E120"/>
  <c r="E113"/>
  <c r="E76" i="27458"/>
  <c r="E52" s="1"/>
  <c r="C153"/>
  <c r="E91" i="27457"/>
  <c r="E78"/>
  <c r="E74"/>
  <c r="E51" s="1"/>
  <c r="C74"/>
  <c r="X15" i="27451"/>
  <c r="M28" i="27441" s="1"/>
  <c r="K28" s="1"/>
  <c r="C73" i="27457"/>
  <c r="C72"/>
  <c r="E76"/>
  <c r="E53" s="1"/>
  <c r="C134"/>
  <c r="C77"/>
  <c r="C54" s="1"/>
  <c r="D6" i="27452"/>
  <c r="D32" i="27444"/>
  <c r="E64"/>
  <c r="F68" i="27461" s="1"/>
  <c r="M105" i="27444"/>
  <c r="H183" i="27436" s="1"/>
  <c r="F183" s="1"/>
  <c r="D67" i="27461"/>
  <c r="K32" i="27444"/>
  <c r="F254" i="27436"/>
  <c r="F299"/>
  <c r="D30" i="27452" s="1"/>
  <c r="E127" i="27456"/>
  <c r="E126"/>
  <c r="E105"/>
  <c r="E102" s="1"/>
  <c r="E93"/>
  <c r="E135" i="27459"/>
  <c r="E133"/>
  <c r="E103"/>
  <c r="E109"/>
  <c r="C109"/>
  <c r="J32" i="27444"/>
  <c r="D501" i="27436"/>
  <c r="C545"/>
  <c r="C463"/>
  <c r="D254"/>
  <c r="C254" s="1"/>
  <c r="D80" i="27452" s="1"/>
  <c r="C299" i="27436"/>
  <c r="C108" i="27457"/>
  <c r="K19" i="27452"/>
  <c r="K12"/>
  <c r="L172" i="27444"/>
  <c r="E364" i="27436" s="1"/>
  <c r="M172" i="27444"/>
  <c r="H364" i="27436" s="1"/>
  <c r="F364" s="1"/>
  <c r="M177" i="27444"/>
  <c r="H369" i="27436" s="1"/>
  <c r="F369" s="1"/>
  <c r="M181" i="27444"/>
  <c r="H368" i="27436" s="1"/>
  <c r="F368" s="1"/>
  <c r="L181" i="27444"/>
  <c r="E368" i="27436" s="1"/>
  <c r="C368" s="1"/>
  <c r="M179" i="27444"/>
  <c r="H371" i="27436" s="1"/>
  <c r="F371" s="1"/>
  <c r="L179" i="27444"/>
  <c r="E371" i="27436" s="1"/>
  <c r="C371" s="1"/>
  <c r="K209" i="27444"/>
  <c r="D253" i="27436"/>
  <c r="F298"/>
  <c r="C298"/>
  <c r="C118" i="27459"/>
  <c r="C108"/>
  <c r="C103"/>
  <c r="E123" i="27458"/>
  <c r="E65"/>
  <c r="E73"/>
  <c r="E49" s="1"/>
  <c r="E64"/>
  <c r="E128"/>
  <c r="C128"/>
  <c r="E127" i="27457"/>
  <c r="E128"/>
  <c r="C80"/>
  <c r="C68"/>
  <c r="C78"/>
  <c r="C67"/>
  <c r="N33" i="27454"/>
  <c r="N48" s="1"/>
  <c r="R33"/>
  <c r="I33"/>
  <c r="I48" s="1"/>
  <c r="Q33"/>
  <c r="Q48" s="1"/>
  <c r="J33"/>
  <c r="J48" s="1"/>
  <c r="L33"/>
  <c r="D61" i="27444"/>
  <c r="E64" i="27461" s="1"/>
  <c r="C121" i="27436"/>
  <c r="D141"/>
  <c r="C201"/>
  <c r="L177" i="27444"/>
  <c r="E369" i="27436" s="1"/>
  <c r="H157" i="27444"/>
  <c r="G91" i="27436"/>
  <c r="G141"/>
  <c r="G507"/>
  <c r="F201"/>
  <c r="L205" i="27444"/>
  <c r="E393" i="27436" s="1"/>
  <c r="C393" s="1"/>
  <c r="L204" i="27444"/>
  <c r="G48"/>
  <c r="E209"/>
  <c r="M82"/>
  <c r="H161" i="27436" s="1"/>
  <c r="F161" s="1"/>
  <c r="M80" i="27444"/>
  <c r="L82"/>
  <c r="E161" i="27436" s="1"/>
  <c r="C161" s="1"/>
  <c r="H154"/>
  <c r="M236" i="27444"/>
  <c r="H632" i="27436" s="1"/>
  <c r="F632" s="1"/>
  <c r="L202" i="27444"/>
  <c r="E390" i="27436" s="1"/>
  <c r="C390" s="1"/>
  <c r="M190" i="27444"/>
  <c r="L190"/>
  <c r="H381" i="27436"/>
  <c r="E381"/>
  <c r="C381" s="1"/>
  <c r="M187" i="27444"/>
  <c r="H377" i="27436" s="1"/>
  <c r="F377" s="1"/>
  <c r="L187" i="27444"/>
  <c r="E377" i="27436" s="1"/>
  <c r="C377" s="1"/>
  <c r="M173" i="27444"/>
  <c r="H366" i="27436" s="1"/>
  <c r="F366" s="1"/>
  <c r="L173" i="27444"/>
  <c r="E366" i="27436" s="1"/>
  <c r="C366" s="1"/>
  <c r="H255"/>
  <c r="F261"/>
  <c r="M150" i="27444"/>
  <c r="H294" i="27436" s="1"/>
  <c r="H261" s="1"/>
  <c r="L150" i="27444"/>
  <c r="E294" i="27436" s="1"/>
  <c r="M148" i="27444"/>
  <c r="H292" i="27436" s="1"/>
  <c r="M147" i="27444"/>
  <c r="H290" i="27436" s="1"/>
  <c r="F290" s="1"/>
  <c r="M146" i="27444"/>
  <c r="H289" i="27436" s="1"/>
  <c r="F289" s="1"/>
  <c r="M145" i="27444"/>
  <c r="M144"/>
  <c r="H287" i="27436" s="1"/>
  <c r="F287" s="1"/>
  <c r="L148" i="27444"/>
  <c r="E292" i="27436" s="1"/>
  <c r="L146" i="27444"/>
  <c r="E289" i="27436" s="1"/>
  <c r="C289" s="1"/>
  <c r="L145" i="27444"/>
  <c r="E288" i="27436" s="1"/>
  <c r="L144" i="27444"/>
  <c r="E287" i="27436" s="1"/>
  <c r="C287" s="1"/>
  <c r="M136" i="27444"/>
  <c r="H280" i="27436" s="1"/>
  <c r="F280" s="1"/>
  <c r="M135" i="27444"/>
  <c r="H278" i="27436" s="1"/>
  <c r="F278" s="1"/>
  <c r="M134" i="27444"/>
  <c r="H277" i="27436" s="1"/>
  <c r="M133" i="27444"/>
  <c r="H276" i="27436" s="1"/>
  <c r="F276" s="1"/>
  <c r="L136" i="27444"/>
  <c r="E280" i="27436" s="1"/>
  <c r="C280" s="1"/>
  <c r="L135" i="27444"/>
  <c r="E278" i="27436" s="1"/>
  <c r="C278" s="1"/>
  <c r="L134" i="27444"/>
  <c r="E277" i="27436" s="1"/>
  <c r="C277" s="1"/>
  <c r="L133" i="27444"/>
  <c r="E276" i="27436" s="1"/>
  <c r="C276" s="1"/>
  <c r="M120" i="27444"/>
  <c r="H245" i="27436" s="1"/>
  <c r="F245" s="1"/>
  <c r="M126" i="27444"/>
  <c r="H249" i="27436" s="1"/>
  <c r="F249" s="1"/>
  <c r="M125" i="27444"/>
  <c r="H248" i="27436" s="1"/>
  <c r="F248" s="1"/>
  <c r="L126" i="27444"/>
  <c r="E249" i="27436" s="1"/>
  <c r="C249" s="1"/>
  <c r="C84" i="27452" s="1"/>
  <c r="L125" i="27444"/>
  <c r="E248" i="27436" s="1"/>
  <c r="C248" s="1"/>
  <c r="C83" i="27452" s="1"/>
  <c r="L120" i="27444"/>
  <c r="E245" i="27436" s="1"/>
  <c r="C245" s="1"/>
  <c r="C79" i="27452" s="1"/>
  <c r="E77" i="27458"/>
  <c r="E75"/>
  <c r="E74"/>
  <c r="C135"/>
  <c r="C141"/>
  <c r="C111"/>
  <c r="C110"/>
  <c r="C109"/>
  <c r="C108"/>
  <c r="C107"/>
  <c r="C106"/>
  <c r="C101"/>
  <c r="C100"/>
  <c r="C99"/>
  <c r="C98"/>
  <c r="C66"/>
  <c r="C65"/>
  <c r="C64"/>
  <c r="E124" i="27459"/>
  <c r="E67"/>
  <c r="E48" s="1"/>
  <c r="E71"/>
  <c r="E52" s="1"/>
  <c r="E66"/>
  <c r="E68"/>
  <c r="E49" s="1"/>
  <c r="E73"/>
  <c r="C147"/>
  <c r="C143"/>
  <c r="C135"/>
  <c r="C133"/>
  <c r="C132"/>
  <c r="C127"/>
  <c r="C126"/>
  <c r="C125"/>
  <c r="C117"/>
  <c r="C107"/>
  <c r="C104"/>
  <c r="C94"/>
  <c r="E72" i="27456"/>
  <c r="E53" s="1"/>
  <c r="E70"/>
  <c r="C133"/>
  <c r="C132"/>
  <c r="C131"/>
  <c r="C127"/>
  <c r="C126"/>
  <c r="C125"/>
  <c r="C124"/>
  <c r="C123"/>
  <c r="C118"/>
  <c r="C120"/>
  <c r="C119"/>
  <c r="C117"/>
  <c r="C113"/>
  <c r="C112"/>
  <c r="C111"/>
  <c r="C107"/>
  <c r="C106"/>
  <c r="C97"/>
  <c r="C93"/>
  <c r="E75" i="27457"/>
  <c r="C128"/>
  <c r="C75"/>
  <c r="C81"/>
  <c r="W15" i="27451"/>
  <c r="G28" i="27441" s="1"/>
  <c r="E28" s="1"/>
  <c r="B111" i="27444"/>
  <c r="H63"/>
  <c r="I67" i="27461" s="1"/>
  <c r="L236" i="27444"/>
  <c r="E632" i="27436" s="1"/>
  <c r="C632" s="1"/>
  <c r="L89" i="27452" s="1"/>
  <c r="F61" i="27444"/>
  <c r="G64" i="27461" s="1"/>
  <c r="F48" i="27444"/>
  <c r="G58" i="27461" s="1"/>
  <c r="L80" i="27444"/>
  <c r="E154" i="27436" s="1"/>
  <c r="D63" i="27444"/>
  <c r="E67" i="27461" s="1"/>
  <c r="M202" i="27444"/>
  <c r="H390" i="27436" s="1"/>
  <c r="G146"/>
  <c r="B20" i="27452" s="1"/>
  <c r="G139" i="27436"/>
  <c r="G138"/>
  <c r="G137"/>
  <c r="G136"/>
  <c r="G135"/>
  <c r="G134"/>
  <c r="K60" i="27452"/>
  <c r="K57"/>
  <c r="K68"/>
  <c r="K61"/>
  <c r="G409" i="27436"/>
  <c r="G408"/>
  <c r="G407"/>
  <c r="G19" i="27452" s="1"/>
  <c r="G406" i="27436"/>
  <c r="G403"/>
  <c r="G402"/>
  <c r="G401"/>
  <c r="G400"/>
  <c r="G399"/>
  <c r="G398"/>
  <c r="G4" i="27452" s="1"/>
  <c r="D406" i="27436"/>
  <c r="D403"/>
  <c r="D402"/>
  <c r="D401"/>
  <c r="D400"/>
  <c r="D399"/>
  <c r="E88" i="27456"/>
  <c r="E74"/>
  <c r="E76"/>
  <c r="E58" s="1"/>
  <c r="E75"/>
  <c r="E57" s="1"/>
  <c r="C91"/>
  <c r="C105"/>
  <c r="C84"/>
  <c r="C88"/>
  <c r="C86"/>
  <c r="C85"/>
  <c r="C76"/>
  <c r="C75"/>
  <c r="C74"/>
  <c r="C72"/>
  <c r="C71"/>
  <c r="C52" s="1"/>
  <c r="C70"/>
  <c r="C69"/>
  <c r="C50" s="1"/>
  <c r="C68"/>
  <c r="E41"/>
  <c r="E129" i="27459"/>
  <c r="E87"/>
  <c r="E75"/>
  <c r="E74"/>
  <c r="E56" s="1"/>
  <c r="C134"/>
  <c r="C131"/>
  <c r="C122"/>
  <c r="C124"/>
  <c r="C129"/>
  <c r="C90"/>
  <c r="C84"/>
  <c r="C87"/>
  <c r="C86"/>
  <c r="C83"/>
  <c r="C66"/>
  <c r="C71"/>
  <c r="C70"/>
  <c r="C68"/>
  <c r="C67"/>
  <c r="C73"/>
  <c r="C75"/>
  <c r="C74"/>
  <c r="D43"/>
  <c r="D45" i="27458"/>
  <c r="D84" i="27457"/>
  <c r="D58" s="1"/>
  <c r="E79" i="27458"/>
  <c r="C140"/>
  <c r="C139"/>
  <c r="C138"/>
  <c r="C137"/>
  <c r="C136"/>
  <c r="C123"/>
  <c r="E81"/>
  <c r="E80"/>
  <c r="C95"/>
  <c r="C91"/>
  <c r="C90"/>
  <c r="C73"/>
  <c r="C76"/>
  <c r="C52" s="1"/>
  <c r="C81"/>
  <c r="C80"/>
  <c r="C57" s="1"/>
  <c r="C79"/>
  <c r="C77"/>
  <c r="C75"/>
  <c r="C51" s="1"/>
  <c r="C74"/>
  <c r="C50" s="1"/>
  <c r="C72"/>
  <c r="C71"/>
  <c r="E124" i="27457"/>
  <c r="E122"/>
  <c r="E95"/>
  <c r="E81"/>
  <c r="E59" s="1"/>
  <c r="C140"/>
  <c r="C127"/>
  <c r="C126"/>
  <c r="C123"/>
  <c r="C120"/>
  <c r="C124"/>
  <c r="C109"/>
  <c r="C97"/>
  <c r="C93"/>
  <c r="C92"/>
  <c r="C95"/>
  <c r="C91"/>
  <c r="C84"/>
  <c r="C76"/>
  <c r="C121" i="27458"/>
  <c r="B27" i="27444"/>
  <c r="B26" s="1"/>
  <c r="C19" i="27450" s="1"/>
  <c r="B71" i="27452"/>
  <c r="D139" i="27436"/>
  <c r="B58" i="27452" s="1"/>
  <c r="D138" i="27436"/>
  <c r="D137"/>
  <c r="D136"/>
  <c r="D135"/>
  <c r="B54" i="27452" s="1"/>
  <c r="B209" i="27444"/>
  <c r="C67" i="27461"/>
  <c r="L105" i="27444"/>
  <c r="E183" i="27436" s="1"/>
  <c r="C183" s="1"/>
  <c r="L233" i="27444"/>
  <c r="E629" i="27436" s="1"/>
  <c r="C629" s="1"/>
  <c r="L86" i="27452" s="1"/>
  <c r="G385" i="27436"/>
  <c r="D385"/>
  <c r="M109" i="27444"/>
  <c r="H187" i="27436" s="1"/>
  <c r="M108" i="27444"/>
  <c r="H186" i="27436" s="1"/>
  <c r="M107" i="27444"/>
  <c r="H185" i="27436" s="1"/>
  <c r="M106" i="27444"/>
  <c r="H184" i="27436" s="1"/>
  <c r="M104" i="27444"/>
  <c r="H182" i="27436" s="1"/>
  <c r="F182" s="1"/>
  <c r="M103" i="27444"/>
  <c r="H181" i="27436" s="1"/>
  <c r="F181" s="1"/>
  <c r="L108" i="27444"/>
  <c r="E186" i="27436" s="1"/>
  <c r="C186" s="1"/>
  <c r="L106" i="27444"/>
  <c r="E184" i="27436" s="1"/>
  <c r="L104" i="27444"/>
  <c r="E182" i="27436" s="1"/>
  <c r="C182" s="1"/>
  <c r="L103" i="27444"/>
  <c r="E181" i="27436" s="1"/>
  <c r="K65" i="27444"/>
  <c r="L61" i="27461" s="1"/>
  <c r="K64" i="27444"/>
  <c r="L68" i="27461" s="1"/>
  <c r="K63" i="27444"/>
  <c r="L67" i="27461" s="1"/>
  <c r="K61" i="27444"/>
  <c r="L64" i="27461" s="1"/>
  <c r="K60" i="27444"/>
  <c r="L63" i="27461" s="1"/>
  <c r="K58" i="27444"/>
  <c r="L52" i="27461" s="1"/>
  <c r="K57" i="27444"/>
  <c r="L59" i="27461" s="1"/>
  <c r="K56" i="27444"/>
  <c r="L56" i="27461" s="1"/>
  <c r="K49" i="27444"/>
  <c r="K48"/>
  <c r="K47"/>
  <c r="J65"/>
  <c r="K61" i="27461" s="1"/>
  <c r="J64" i="27444"/>
  <c r="K68" i="27461" s="1"/>
  <c r="J63" i="27444"/>
  <c r="K67" i="27461" s="1"/>
  <c r="J61" i="27444"/>
  <c r="K64" i="27461" s="1"/>
  <c r="J60" i="27444"/>
  <c r="K63" i="27461" s="1"/>
  <c r="J58" i="27444"/>
  <c r="K52" i="27461" s="1"/>
  <c r="J57" i="27444"/>
  <c r="K59" i="27461" s="1"/>
  <c r="J56" i="27444"/>
  <c r="K56" i="27461" s="1"/>
  <c r="J49" i="27444"/>
  <c r="J48"/>
  <c r="J47"/>
  <c r="I65"/>
  <c r="J61" i="27461" s="1"/>
  <c r="I64" i="27444"/>
  <c r="J68" i="27461" s="1"/>
  <c r="I63" i="27444"/>
  <c r="J67" i="27461" s="1"/>
  <c r="I61" i="27444"/>
  <c r="J64" i="27461" s="1"/>
  <c r="I60" i="27444"/>
  <c r="J63" i="27461" s="1"/>
  <c r="I58" i="27444"/>
  <c r="J52" i="27461" s="1"/>
  <c r="I57" i="27444"/>
  <c r="J59" i="27461" s="1"/>
  <c r="I56" i="27444"/>
  <c r="J56" i="27461" s="1"/>
  <c r="I49" i="27444"/>
  <c r="I48"/>
  <c r="I47"/>
  <c r="H65"/>
  <c r="I61" i="27461" s="1"/>
  <c r="H64" i="27444"/>
  <c r="I68" i="27461" s="1"/>
  <c r="H61" i="27444"/>
  <c r="I64" i="27461" s="1"/>
  <c r="H60" i="27444"/>
  <c r="I63" i="27461" s="1"/>
  <c r="H58" i="27444"/>
  <c r="I52" i="27461" s="1"/>
  <c r="H57" i="27444"/>
  <c r="I59" i="27461" s="1"/>
  <c r="H56" i="27444"/>
  <c r="I56" i="27461" s="1"/>
  <c r="H49" i="27444"/>
  <c r="H48"/>
  <c r="H47"/>
  <c r="C61" i="27450" s="1"/>
  <c r="G65" i="27444"/>
  <c r="H61" i="27461" s="1"/>
  <c r="G64" i="27444"/>
  <c r="H68" i="27461" s="1"/>
  <c r="G63" i="27444"/>
  <c r="H67" i="27461" s="1"/>
  <c r="G61" i="27444"/>
  <c r="H64" i="27461" s="1"/>
  <c r="G60" i="27444"/>
  <c r="H63" i="27461" s="1"/>
  <c r="G58" i="27444"/>
  <c r="H52" i="27461" s="1"/>
  <c r="G57" i="27444"/>
  <c r="H59" i="27461" s="1"/>
  <c r="G56" i="27444"/>
  <c r="H56" i="27461" s="1"/>
  <c r="G49" i="27444"/>
  <c r="G47"/>
  <c r="F65"/>
  <c r="G61" i="27461" s="1"/>
  <c r="F64" i="27444"/>
  <c r="G68" i="27461" s="1"/>
  <c r="F63" i="27444"/>
  <c r="G67" i="27461" s="1"/>
  <c r="F60" i="27444"/>
  <c r="G63" i="27461" s="1"/>
  <c r="F58" i="27444"/>
  <c r="G52" i="27461" s="1"/>
  <c r="F57" i="27444"/>
  <c r="G59" i="27461" s="1"/>
  <c r="F56" i="27444"/>
  <c r="G56" i="27461" s="1"/>
  <c r="F49" i="27444"/>
  <c r="G51" i="27461" s="1"/>
  <c r="F47" i="27444"/>
  <c r="E65"/>
  <c r="F61" i="27461" s="1"/>
  <c r="E61" i="27444"/>
  <c r="F64" i="27461" s="1"/>
  <c r="E60" i="27444"/>
  <c r="F63" i="27461" s="1"/>
  <c r="E58" i="27444"/>
  <c r="F52" i="27461" s="1"/>
  <c r="E57" i="27444"/>
  <c r="F59" i="27461" s="1"/>
  <c r="E56" i="27444"/>
  <c r="F56" i="27461" s="1"/>
  <c r="E49" i="27444"/>
  <c r="E48"/>
  <c r="E47"/>
  <c r="D64"/>
  <c r="E68" i="27461" s="1"/>
  <c r="D60" i="27444"/>
  <c r="E63" i="27461" s="1"/>
  <c r="D58" i="27444"/>
  <c r="E52" i="27461" s="1"/>
  <c r="D57" i="27444"/>
  <c r="E59" i="27461" s="1"/>
  <c r="D56" i="27444"/>
  <c r="E56" i="27461" s="1"/>
  <c r="D49" i="27444"/>
  <c r="D48"/>
  <c r="E58" i="27461" s="1"/>
  <c r="D47" i="27444"/>
  <c r="G6" i="27450" s="1"/>
  <c r="C65" i="27444"/>
  <c r="D61" i="27461" s="1"/>
  <c r="C64" i="27444"/>
  <c r="D68" i="27461" s="1"/>
  <c r="C61" i="27444"/>
  <c r="D64" i="27461" s="1"/>
  <c r="C60" i="27444"/>
  <c r="D63" i="27461" s="1"/>
  <c r="C58" i="27444"/>
  <c r="D52" i="27461" s="1"/>
  <c r="C57" i="27444"/>
  <c r="D59" i="27461" s="1"/>
  <c r="C56" i="27444"/>
  <c r="D56" i="27461" s="1"/>
  <c r="C49" i="27444"/>
  <c r="C48"/>
  <c r="C47"/>
  <c r="B65"/>
  <c r="C61" i="27461" s="1"/>
  <c r="B64" i="27444"/>
  <c r="C68" i="27461" s="1"/>
  <c r="B61" i="27444"/>
  <c r="C64" i="27461" s="1"/>
  <c r="B60" i="27444"/>
  <c r="C63" i="27461" s="1"/>
  <c r="B58" i="27444"/>
  <c r="C52" i="27461" s="1"/>
  <c r="B57" i="27444"/>
  <c r="C59" i="27461" s="1"/>
  <c r="B56" i="27444"/>
  <c r="C56" i="27461" s="1"/>
  <c r="B49" i="27444"/>
  <c r="B48"/>
  <c r="B47"/>
  <c r="K218"/>
  <c r="J218"/>
  <c r="I218"/>
  <c r="H218"/>
  <c r="G218"/>
  <c r="F218"/>
  <c r="E218"/>
  <c r="D218"/>
  <c r="C218"/>
  <c r="E17" i="27450" s="1"/>
  <c r="M72" s="1"/>
  <c r="O40" i="27441" s="1"/>
  <c r="B218" i="27444"/>
  <c r="E118" i="27457"/>
  <c r="E501" i="27436"/>
  <c r="E500"/>
  <c r="E499"/>
  <c r="E497"/>
  <c r="E496"/>
  <c r="E495"/>
  <c r="E494"/>
  <c r="H501"/>
  <c r="H500"/>
  <c r="H499"/>
  <c r="H497"/>
  <c r="H496"/>
  <c r="H495"/>
  <c r="H494"/>
  <c r="G506"/>
  <c r="G505"/>
  <c r="G502"/>
  <c r="G499"/>
  <c r="G498"/>
  <c r="G497"/>
  <c r="G496"/>
  <c r="G495"/>
  <c r="G494"/>
  <c r="D563"/>
  <c r="D564"/>
  <c r="D565"/>
  <c r="D566"/>
  <c r="D567"/>
  <c r="D568"/>
  <c r="D571"/>
  <c r="D572"/>
  <c r="D573"/>
  <c r="D575"/>
  <c r="D576"/>
  <c r="H576"/>
  <c r="H575"/>
  <c r="H572"/>
  <c r="H567"/>
  <c r="H565"/>
  <c r="H564"/>
  <c r="H563"/>
  <c r="G576"/>
  <c r="G575"/>
  <c r="J20" i="27452" s="1"/>
  <c r="G573" i="27436"/>
  <c r="G572"/>
  <c r="G571"/>
  <c r="G568"/>
  <c r="J9" i="27452" s="1"/>
  <c r="G567" i="27436"/>
  <c r="G566"/>
  <c r="G565"/>
  <c r="G564"/>
  <c r="F564" s="1"/>
  <c r="J29" i="27452" s="1"/>
  <c r="G563" i="27436"/>
  <c r="E576"/>
  <c r="E575"/>
  <c r="E572"/>
  <c r="E568"/>
  <c r="E567"/>
  <c r="E565"/>
  <c r="E564"/>
  <c r="E563"/>
  <c r="C615"/>
  <c r="D507"/>
  <c r="D506"/>
  <c r="D505"/>
  <c r="D500"/>
  <c r="D499"/>
  <c r="D498"/>
  <c r="D497"/>
  <c r="D496"/>
  <c r="C496" s="1"/>
  <c r="H80" i="27452" s="1"/>
  <c r="D495" i="27436"/>
  <c r="D494"/>
  <c r="H409"/>
  <c r="H408"/>
  <c r="H407"/>
  <c r="H406"/>
  <c r="H405"/>
  <c r="H403"/>
  <c r="H402"/>
  <c r="H401"/>
  <c r="H400"/>
  <c r="H399"/>
  <c r="H398"/>
  <c r="E409"/>
  <c r="E408"/>
  <c r="E407"/>
  <c r="E406"/>
  <c r="E405"/>
  <c r="C405" s="1"/>
  <c r="G85" i="27452" s="1"/>
  <c r="E403" i="27436"/>
  <c r="E402"/>
  <c r="E401"/>
  <c r="E400"/>
  <c r="E399"/>
  <c r="E398"/>
  <c r="D409"/>
  <c r="G71" i="27452" s="1"/>
  <c r="D408" i="27436"/>
  <c r="C408" s="1"/>
  <c r="G95" i="27452" s="1"/>
  <c r="D407" i="27436"/>
  <c r="D398"/>
  <c r="H313"/>
  <c r="H312"/>
  <c r="G312"/>
  <c r="G311"/>
  <c r="G310"/>
  <c r="E313"/>
  <c r="E312"/>
  <c r="D319"/>
  <c r="D318"/>
  <c r="D312"/>
  <c r="D311"/>
  <c r="D310"/>
  <c r="D343"/>
  <c r="D255"/>
  <c r="D257"/>
  <c r="E255"/>
  <c r="D134"/>
  <c r="B53" i="27452" s="1"/>
  <c r="F618" i="27436"/>
  <c r="C618"/>
  <c r="C617"/>
  <c r="F617"/>
  <c r="F598"/>
  <c r="F597"/>
  <c r="C598"/>
  <c r="F547"/>
  <c r="F546"/>
  <c r="F544"/>
  <c r="C547"/>
  <c r="C546"/>
  <c r="C544"/>
  <c r="F524"/>
  <c r="C524"/>
  <c r="F491"/>
  <c r="F490"/>
  <c r="F489"/>
  <c r="F488"/>
  <c r="F487"/>
  <c r="F486"/>
  <c r="F485"/>
  <c r="F484"/>
  <c r="F483"/>
  <c r="C491"/>
  <c r="C490"/>
  <c r="C489"/>
  <c r="C488"/>
  <c r="C487"/>
  <c r="C486"/>
  <c r="C485"/>
  <c r="C484"/>
  <c r="C483"/>
  <c r="F456"/>
  <c r="F455"/>
  <c r="F454"/>
  <c r="F453"/>
  <c r="F452"/>
  <c r="F451"/>
  <c r="F450"/>
  <c r="C456"/>
  <c r="C455"/>
  <c r="C454"/>
  <c r="C453"/>
  <c r="C452"/>
  <c r="C451"/>
  <c r="C450"/>
  <c r="F432"/>
  <c r="F431"/>
  <c r="F430"/>
  <c r="F429"/>
  <c r="F428"/>
  <c r="F427"/>
  <c r="C432"/>
  <c r="C431"/>
  <c r="C430"/>
  <c r="C429"/>
  <c r="C428"/>
  <c r="C427"/>
  <c r="F340"/>
  <c r="C340"/>
  <c r="F334"/>
  <c r="C334"/>
  <c r="C306"/>
  <c r="F239"/>
  <c r="F238"/>
  <c r="F237"/>
  <c r="F236"/>
  <c r="F235"/>
  <c r="F234"/>
  <c r="F233"/>
  <c r="C239"/>
  <c r="C238"/>
  <c r="C237"/>
  <c r="C236"/>
  <c r="C235"/>
  <c r="C234"/>
  <c r="C233"/>
  <c r="F211"/>
  <c r="F210"/>
  <c r="F209"/>
  <c r="C211"/>
  <c r="C210"/>
  <c r="C209"/>
  <c r="E4" i="27453"/>
  <c r="E7"/>
  <c r="E5"/>
  <c r="M128" i="27444"/>
  <c r="H251" i="27436" s="1"/>
  <c r="F251" s="1"/>
  <c r="C46" i="27452" s="1"/>
  <c r="E8" i="27459"/>
  <c r="C41" i="27458"/>
  <c r="D41"/>
  <c r="E34" i="27456"/>
  <c r="C157" i="27444"/>
  <c r="C240"/>
  <c r="G47" i="27454"/>
  <c r="K33"/>
  <c r="K48" s="1"/>
  <c r="S38"/>
  <c r="G38"/>
  <c r="S33"/>
  <c r="S48" s="1"/>
  <c r="E136" i="27456"/>
  <c r="E135" s="1"/>
  <c r="E120"/>
  <c r="E118"/>
  <c r="E114"/>
  <c r="E110"/>
  <c r="E98"/>
  <c r="E95" s="1"/>
  <c r="E92"/>
  <c r="E83"/>
  <c r="E80"/>
  <c r="E79" s="1"/>
  <c r="E78"/>
  <c r="E77" s="1"/>
  <c r="E71"/>
  <c r="E52" s="1"/>
  <c r="E51"/>
  <c r="E69"/>
  <c r="E50" s="1"/>
  <c r="E68"/>
  <c r="E49" s="1"/>
  <c r="E67"/>
  <c r="E66"/>
  <c r="E65"/>
  <c r="E62"/>
  <c r="E47" s="1"/>
  <c r="E61"/>
  <c r="E48" s="1"/>
  <c r="E60"/>
  <c r="E55"/>
  <c r="E54"/>
  <c r="E40"/>
  <c r="E38"/>
  <c r="E37"/>
  <c r="E36"/>
  <c r="E33"/>
  <c r="E32"/>
  <c r="E31"/>
  <c r="E29"/>
  <c r="E28"/>
  <c r="E27"/>
  <c r="E25"/>
  <c r="E24"/>
  <c r="E23"/>
  <c r="E22"/>
  <c r="E20"/>
  <c r="E19"/>
  <c r="E18"/>
  <c r="E17"/>
  <c r="E16"/>
  <c r="E15"/>
  <c r="E14"/>
  <c r="E13"/>
  <c r="E12"/>
  <c r="E11"/>
  <c r="E9"/>
  <c r="W33" i="27454"/>
  <c r="W48" s="1"/>
  <c r="B115" i="27444"/>
  <c r="E348" i="27446"/>
  <c r="H348"/>
  <c r="H864"/>
  <c r="E864"/>
  <c r="H771"/>
  <c r="E771"/>
  <c r="H504"/>
  <c r="E504"/>
  <c r="H441"/>
  <c r="E441"/>
  <c r="F506"/>
  <c r="C506"/>
  <c r="D61"/>
  <c r="G61"/>
  <c r="G21"/>
  <c r="G20"/>
  <c r="G19"/>
  <c r="G18"/>
  <c r="D21"/>
  <c r="D20"/>
  <c r="D19"/>
  <c r="D18"/>
  <c r="H440"/>
  <c r="H439"/>
  <c r="H438"/>
  <c r="H437"/>
  <c r="H436"/>
  <c r="H435"/>
  <c r="H434"/>
  <c r="E438"/>
  <c r="E437"/>
  <c r="L186" i="27444"/>
  <c r="E375" i="27436" s="1"/>
  <c r="C375" s="1"/>
  <c r="L200" i="27444"/>
  <c r="E388" i="27436" s="1"/>
  <c r="E434" i="27446"/>
  <c r="E436"/>
  <c r="E435"/>
  <c r="C435"/>
  <c r="F435"/>
  <c r="E485"/>
  <c r="H477"/>
  <c r="E477"/>
  <c r="H498"/>
  <c r="E498"/>
  <c r="F499"/>
  <c r="C499"/>
  <c r="F494"/>
  <c r="C494"/>
  <c r="H492"/>
  <c r="E492"/>
  <c r="F493"/>
  <c r="C493"/>
  <c r="F479"/>
  <c r="C479"/>
  <c r="F478"/>
  <c r="C478"/>
  <c r="M90" i="27447"/>
  <c r="L90"/>
  <c r="M167"/>
  <c r="M166"/>
  <c r="L167"/>
  <c r="L166"/>
  <c r="M175"/>
  <c r="L175"/>
  <c r="M182"/>
  <c r="L182"/>
  <c r="C54"/>
  <c r="L177"/>
  <c r="M177"/>
  <c r="L104"/>
  <c r="C56"/>
  <c r="B56"/>
  <c r="C96"/>
  <c r="B96"/>
  <c r="G56"/>
  <c r="G53"/>
  <c r="F53"/>
  <c r="F56"/>
  <c r="G96"/>
  <c r="F96"/>
  <c r="E49"/>
  <c r="D49"/>
  <c r="E54"/>
  <c r="D54"/>
  <c r="E56"/>
  <c r="D56"/>
  <c r="E96"/>
  <c r="D96"/>
  <c r="I107"/>
  <c r="H107"/>
  <c r="G107"/>
  <c r="F107"/>
  <c r="I56"/>
  <c r="H56"/>
  <c r="I96"/>
  <c r="M96"/>
  <c r="H96"/>
  <c r="J56"/>
  <c r="M97"/>
  <c r="L97"/>
  <c r="J96"/>
  <c r="L96"/>
  <c r="E65"/>
  <c r="D65"/>
  <c r="K43"/>
  <c r="J43"/>
  <c r="J233"/>
  <c r="I43"/>
  <c r="H43"/>
  <c r="G43"/>
  <c r="F43"/>
  <c r="E43"/>
  <c r="D43"/>
  <c r="C43"/>
  <c r="B43"/>
  <c r="B30"/>
  <c r="B26"/>
  <c r="C30"/>
  <c r="D30"/>
  <c r="D26"/>
  <c r="E30"/>
  <c r="F30"/>
  <c r="F26"/>
  <c r="G30"/>
  <c r="H30"/>
  <c r="H26"/>
  <c r="I30"/>
  <c r="I26"/>
  <c r="J30"/>
  <c r="J26"/>
  <c r="K30"/>
  <c r="M13"/>
  <c r="M12"/>
  <c r="M11"/>
  <c r="M10"/>
  <c r="L13"/>
  <c r="L12"/>
  <c r="L11"/>
  <c r="L10"/>
  <c r="D519" i="27446"/>
  <c r="G519"/>
  <c r="G514"/>
  <c r="G819"/>
  <c r="G818"/>
  <c r="D819"/>
  <c r="D818"/>
  <c r="D690"/>
  <c r="G690"/>
  <c r="G694"/>
  <c r="D694"/>
  <c r="G352"/>
  <c r="H198" i="27448"/>
  <c r="G351" i="27446"/>
  <c r="G125"/>
  <c r="G124"/>
  <c r="H885"/>
  <c r="H891"/>
  <c r="G885"/>
  <c r="H694"/>
  <c r="E694"/>
  <c r="F792"/>
  <c r="C792"/>
  <c r="F763"/>
  <c r="F762"/>
  <c r="C763"/>
  <c r="C762"/>
  <c r="G761"/>
  <c r="F761"/>
  <c r="D761"/>
  <c r="C761"/>
  <c r="F540"/>
  <c r="C540"/>
  <c r="G518"/>
  <c r="D518"/>
  <c r="F538"/>
  <c r="C538"/>
  <c r="G515"/>
  <c r="D515"/>
  <c r="F531"/>
  <c r="C531"/>
  <c r="F470"/>
  <c r="H128"/>
  <c r="G128"/>
  <c r="E128"/>
  <c r="H125"/>
  <c r="E125"/>
  <c r="G123"/>
  <c r="D128"/>
  <c r="D125"/>
  <c r="D123"/>
  <c r="D122"/>
  <c r="G329"/>
  <c r="D329"/>
  <c r="F333"/>
  <c r="C333"/>
  <c r="F332"/>
  <c r="C332"/>
  <c r="F331"/>
  <c r="C331"/>
  <c r="F330"/>
  <c r="C330"/>
  <c r="F329"/>
  <c r="C329"/>
  <c r="G133"/>
  <c r="D133"/>
  <c r="F274"/>
  <c r="C274"/>
  <c r="G194"/>
  <c r="O56" i="27445"/>
  <c r="D513" i="27446"/>
  <c r="D512"/>
  <c r="D511"/>
  <c r="D510"/>
  <c r="D509"/>
  <c r="D508"/>
  <c r="H695"/>
  <c r="H693"/>
  <c r="H692"/>
  <c r="H690"/>
  <c r="F690"/>
  <c r="H689"/>
  <c r="H688"/>
  <c r="H687"/>
  <c r="H686"/>
  <c r="H685"/>
  <c r="H684"/>
  <c r="H683"/>
  <c r="H682"/>
  <c r="G695"/>
  <c r="G693"/>
  <c r="G692"/>
  <c r="G689"/>
  <c r="F689"/>
  <c r="G688"/>
  <c r="G687"/>
  <c r="F687"/>
  <c r="G686"/>
  <c r="G685"/>
  <c r="G684"/>
  <c r="G683"/>
  <c r="F683"/>
  <c r="G682"/>
  <c r="E695"/>
  <c r="E693"/>
  <c r="E692"/>
  <c r="E690"/>
  <c r="E689"/>
  <c r="E688"/>
  <c r="E687"/>
  <c r="E686"/>
  <c r="E685"/>
  <c r="E684"/>
  <c r="E683"/>
  <c r="E682"/>
  <c r="H875"/>
  <c r="H874"/>
  <c r="G875"/>
  <c r="G874"/>
  <c r="E875"/>
  <c r="E874"/>
  <c r="D875"/>
  <c r="D874"/>
  <c r="D693"/>
  <c r="D692"/>
  <c r="D689"/>
  <c r="D688"/>
  <c r="D687"/>
  <c r="D686"/>
  <c r="D685"/>
  <c r="D684"/>
  <c r="D683"/>
  <c r="D682"/>
  <c r="D695"/>
  <c r="H519"/>
  <c r="H518"/>
  <c r="H517"/>
  <c r="H516"/>
  <c r="H515"/>
  <c r="H514"/>
  <c r="H513"/>
  <c r="H512"/>
  <c r="H511"/>
  <c r="H510"/>
  <c r="H509"/>
  <c r="H508"/>
  <c r="G517"/>
  <c r="G516"/>
  <c r="G513"/>
  <c r="G512"/>
  <c r="G511"/>
  <c r="G510"/>
  <c r="G509"/>
  <c r="G508"/>
  <c r="E519"/>
  <c r="E518"/>
  <c r="E517"/>
  <c r="E516"/>
  <c r="E515"/>
  <c r="E514"/>
  <c r="E513"/>
  <c r="E512"/>
  <c r="E511"/>
  <c r="E510"/>
  <c r="E509"/>
  <c r="E508"/>
  <c r="D517"/>
  <c r="C517"/>
  <c r="D516"/>
  <c r="D514"/>
  <c r="F680"/>
  <c r="F679"/>
  <c r="F678"/>
  <c r="F677"/>
  <c r="F676"/>
  <c r="C680"/>
  <c r="C679"/>
  <c r="C678"/>
  <c r="C677"/>
  <c r="C676"/>
  <c r="G542"/>
  <c r="D542"/>
  <c r="F542"/>
  <c r="C542"/>
  <c r="G553"/>
  <c r="F554"/>
  <c r="F553"/>
  <c r="C554"/>
  <c r="D553"/>
  <c r="C553"/>
  <c r="G441"/>
  <c r="G440"/>
  <c r="G439"/>
  <c r="G438"/>
  <c r="G437"/>
  <c r="G436"/>
  <c r="G434"/>
  <c r="E440"/>
  <c r="E439"/>
  <c r="H485"/>
  <c r="G498"/>
  <c r="D498"/>
  <c r="D485"/>
  <c r="D438"/>
  <c r="D437"/>
  <c r="D436"/>
  <c r="D434"/>
  <c r="D441"/>
  <c r="D440"/>
  <c r="D439"/>
  <c r="H442"/>
  <c r="G442"/>
  <c r="E442"/>
  <c r="D442"/>
  <c r="H399"/>
  <c r="H398"/>
  <c r="H397"/>
  <c r="H396"/>
  <c r="H395"/>
  <c r="H394"/>
  <c r="H393"/>
  <c r="H392"/>
  <c r="H391"/>
  <c r="H390"/>
  <c r="H389"/>
  <c r="H388"/>
  <c r="H387"/>
  <c r="G399"/>
  <c r="G398"/>
  <c r="G397"/>
  <c r="G396"/>
  <c r="F396"/>
  <c r="G395"/>
  <c r="G394"/>
  <c r="G393"/>
  <c r="G392"/>
  <c r="G391"/>
  <c r="G390"/>
  <c r="G389"/>
  <c r="F389"/>
  <c r="G388"/>
  <c r="G387"/>
  <c r="E399"/>
  <c r="E398"/>
  <c r="E397"/>
  <c r="E396"/>
  <c r="E395"/>
  <c r="E394"/>
  <c r="E393"/>
  <c r="E392"/>
  <c r="E391"/>
  <c r="E390"/>
  <c r="E389"/>
  <c r="E388"/>
  <c r="E387"/>
  <c r="D395"/>
  <c r="D398"/>
  <c r="D396"/>
  <c r="D397"/>
  <c r="D399"/>
  <c r="D394"/>
  <c r="D393"/>
  <c r="D392"/>
  <c r="D391"/>
  <c r="D390"/>
  <c r="D389"/>
  <c r="D388"/>
  <c r="D387"/>
  <c r="D351"/>
  <c r="D350"/>
  <c r="D349"/>
  <c r="D348"/>
  <c r="D352"/>
  <c r="D378"/>
  <c r="F379"/>
  <c r="C379"/>
  <c r="H370"/>
  <c r="G370"/>
  <c r="E370"/>
  <c r="D370"/>
  <c r="H355"/>
  <c r="G355"/>
  <c r="E355"/>
  <c r="D355"/>
  <c r="H134"/>
  <c r="H133"/>
  <c r="H132"/>
  <c r="H131"/>
  <c r="H130"/>
  <c r="H129"/>
  <c r="H127"/>
  <c r="H126"/>
  <c r="H124"/>
  <c r="H123"/>
  <c r="F123"/>
  <c r="G134"/>
  <c r="G132"/>
  <c r="G131"/>
  <c r="G130"/>
  <c r="F130"/>
  <c r="G129"/>
  <c r="F129"/>
  <c r="G127"/>
  <c r="G126"/>
  <c r="F126"/>
  <c r="E134"/>
  <c r="E133"/>
  <c r="E132"/>
  <c r="E131"/>
  <c r="E130"/>
  <c r="E129"/>
  <c r="E127"/>
  <c r="E126"/>
  <c r="E124"/>
  <c r="E123"/>
  <c r="D132"/>
  <c r="C132"/>
  <c r="D134"/>
  <c r="D131"/>
  <c r="D130"/>
  <c r="D124"/>
  <c r="D129"/>
  <c r="D127"/>
  <c r="D126"/>
  <c r="C126"/>
  <c r="H183"/>
  <c r="G183"/>
  <c r="E183"/>
  <c r="H152"/>
  <c r="G152"/>
  <c r="D152"/>
  <c r="H193"/>
  <c r="E193"/>
  <c r="D194"/>
  <c r="F194"/>
  <c r="C194"/>
  <c r="F285"/>
  <c r="C285"/>
  <c r="G241"/>
  <c r="F241"/>
  <c r="D241"/>
  <c r="C241"/>
  <c r="F190"/>
  <c r="C190"/>
  <c r="G189"/>
  <c r="G191"/>
  <c r="D191"/>
  <c r="G186"/>
  <c r="F186"/>
  <c r="D186"/>
  <c r="C186"/>
  <c r="F500"/>
  <c r="F501"/>
  <c r="F502"/>
  <c r="F503"/>
  <c r="D246"/>
  <c r="M66" i="27447"/>
  <c r="L66"/>
  <c r="F486" i="27446"/>
  <c r="F487"/>
  <c r="C486"/>
  <c r="F474"/>
  <c r="C474"/>
  <c r="F467"/>
  <c r="F466"/>
  <c r="F465"/>
  <c r="C467"/>
  <c r="C466"/>
  <c r="C465"/>
  <c r="F421"/>
  <c r="C421"/>
  <c r="F373"/>
  <c r="C373"/>
  <c r="F356"/>
  <c r="C356"/>
  <c r="F314"/>
  <c r="C314"/>
  <c r="F192"/>
  <c r="C192"/>
  <c r="H191"/>
  <c r="F191"/>
  <c r="E191"/>
  <c r="F166"/>
  <c r="C166"/>
  <c r="F873"/>
  <c r="C873"/>
  <c r="G872"/>
  <c r="F872"/>
  <c r="C872"/>
  <c r="F804"/>
  <c r="C804"/>
  <c r="G803"/>
  <c r="F803"/>
  <c r="D803"/>
  <c r="C803"/>
  <c r="C798"/>
  <c r="C797"/>
  <c r="F798"/>
  <c r="F797"/>
  <c r="G796"/>
  <c r="F796"/>
  <c r="D796"/>
  <c r="C796"/>
  <c r="F775"/>
  <c r="F774"/>
  <c r="F773"/>
  <c r="F772"/>
  <c r="C775"/>
  <c r="C774"/>
  <c r="C773"/>
  <c r="C772"/>
  <c r="G771"/>
  <c r="F771"/>
  <c r="D771"/>
  <c r="C771"/>
  <c r="G675"/>
  <c r="D675"/>
  <c r="C675"/>
  <c r="G613"/>
  <c r="D613"/>
  <c r="F614"/>
  <c r="C614"/>
  <c r="G606"/>
  <c r="D606"/>
  <c r="F609"/>
  <c r="C609"/>
  <c r="F552"/>
  <c r="C552"/>
  <c r="G551"/>
  <c r="F551"/>
  <c r="D551"/>
  <c r="C551"/>
  <c r="G547"/>
  <c r="F547"/>
  <c r="D547"/>
  <c r="C547"/>
  <c r="F550"/>
  <c r="C550"/>
  <c r="F428"/>
  <c r="C428"/>
  <c r="F286"/>
  <c r="C286"/>
  <c r="F283"/>
  <c r="F282"/>
  <c r="F281"/>
  <c r="F280"/>
  <c r="F279"/>
  <c r="F277"/>
  <c r="F275"/>
  <c r="F273"/>
  <c r="F271"/>
  <c r="F270"/>
  <c r="F269"/>
  <c r="F268"/>
  <c r="C283"/>
  <c r="C282"/>
  <c r="C281"/>
  <c r="C280"/>
  <c r="C279"/>
  <c r="C277"/>
  <c r="C275"/>
  <c r="C273"/>
  <c r="C271"/>
  <c r="C270"/>
  <c r="C269"/>
  <c r="C268"/>
  <c r="G267"/>
  <c r="F267"/>
  <c r="D267"/>
  <c r="C267"/>
  <c r="F243"/>
  <c r="C243"/>
  <c r="F240"/>
  <c r="C240"/>
  <c r="G239"/>
  <c r="F239"/>
  <c r="D239"/>
  <c r="C239"/>
  <c r="F185"/>
  <c r="F184"/>
  <c r="C185"/>
  <c r="C184"/>
  <c r="F183"/>
  <c r="D183"/>
  <c r="C183"/>
  <c r="F189"/>
  <c r="F188"/>
  <c r="C188"/>
  <c r="E114" i="27459"/>
  <c r="L116" i="27444"/>
  <c r="E240" i="27436" s="1"/>
  <c r="B96" i="27452"/>
  <c r="O96" s="1"/>
  <c r="C241" i="27436"/>
  <c r="M116" i="27444"/>
  <c r="H240" i="27436" s="1"/>
  <c r="F240" s="1"/>
  <c r="J115" i="27444"/>
  <c r="C81" i="27456" s="1"/>
  <c r="C58" s="1"/>
  <c r="I115" i="27444"/>
  <c r="E80" i="27459" s="1"/>
  <c r="H115" i="27444"/>
  <c r="G115"/>
  <c r="E86" i="27458" s="1"/>
  <c r="F115" i="27444"/>
  <c r="C86" i="27458" s="1"/>
  <c r="E115" i="27444"/>
  <c r="D115"/>
  <c r="C115"/>
  <c r="K115"/>
  <c r="C34" i="27456"/>
  <c r="E116" i="27459"/>
  <c r="C37"/>
  <c r="E119" i="27458"/>
  <c r="C119"/>
  <c r="C7"/>
  <c r="E27" i="27459"/>
  <c r="C65" i="27456"/>
  <c r="E116" i="27457"/>
  <c r="E113"/>
  <c r="E117"/>
  <c r="E106"/>
  <c r="C30"/>
  <c r="V33" i="27454"/>
  <c r="J240" i="27444"/>
  <c r="J244" s="1"/>
  <c r="O32" i="27445"/>
  <c r="N32"/>
  <c r="M32"/>
  <c r="L32"/>
  <c r="K32"/>
  <c r="P54"/>
  <c r="C105" i="27459"/>
  <c r="E129" i="27458"/>
  <c r="F612" i="27436"/>
  <c r="L137" i="27444"/>
  <c r="E281" i="27436" s="1"/>
  <c r="L132" i="27444"/>
  <c r="E279" i="27436" s="1"/>
  <c r="E89" i="27459"/>
  <c r="C85"/>
  <c r="C113"/>
  <c r="C114"/>
  <c r="C131" i="27458"/>
  <c r="C116" i="27457"/>
  <c r="C121"/>
  <c r="C117"/>
  <c r="C115"/>
  <c r="C113"/>
  <c r="U33" i="27454"/>
  <c r="U48" s="1"/>
  <c r="T33"/>
  <c r="T48" s="1"/>
  <c r="C434" i="27436"/>
  <c r="M137" i="27444"/>
  <c r="H281" i="27436" s="1"/>
  <c r="F281" s="1"/>
  <c r="E99" i="27457"/>
  <c r="E66"/>
  <c r="C27" i="27444"/>
  <c r="E32"/>
  <c r="C28" i="27456"/>
  <c r="E29" i="27459"/>
  <c r="C29"/>
  <c r="C146" i="27458"/>
  <c r="E28"/>
  <c r="C28"/>
  <c r="E130" i="27457"/>
  <c r="C130"/>
  <c r="E27"/>
  <c r="C27"/>
  <c r="J209" i="27444"/>
  <c r="H209"/>
  <c r="K45"/>
  <c r="J45"/>
  <c r="J246" s="1"/>
  <c r="I45"/>
  <c r="H45"/>
  <c r="G45"/>
  <c r="F45"/>
  <c r="E45"/>
  <c r="D45"/>
  <c r="C45"/>
  <c r="B45"/>
  <c r="M29"/>
  <c r="L29"/>
  <c r="K27"/>
  <c r="J27"/>
  <c r="J26" s="1"/>
  <c r="I27"/>
  <c r="H27"/>
  <c r="H26" s="1"/>
  <c r="C74" i="27450" s="1"/>
  <c r="G27" i="27444"/>
  <c r="F27"/>
  <c r="F26" s="1"/>
  <c r="K19" i="27450" s="1"/>
  <c r="D27" i="27444"/>
  <c r="D26" s="1"/>
  <c r="G19" i="27450" s="1"/>
  <c r="G32" i="27444"/>
  <c r="M84"/>
  <c r="H163" i="27436" s="1"/>
  <c r="H157" s="1"/>
  <c r="M81" i="27444"/>
  <c r="H160" i="27436" s="1"/>
  <c r="L84" i="27444"/>
  <c r="E163" i="27436" s="1"/>
  <c r="C110" i="27457"/>
  <c r="C66"/>
  <c r="E66" i="27458"/>
  <c r="C129"/>
  <c r="E115" i="27459"/>
  <c r="C69" i="27436"/>
  <c r="F69"/>
  <c r="C63" i="27456"/>
  <c r="L81" i="27444"/>
  <c r="E160" i="27436" s="1"/>
  <c r="F462"/>
  <c r="F354" i="27446"/>
  <c r="G350"/>
  <c r="E198" i="27448"/>
  <c r="F148" i="27446"/>
  <c r="C148"/>
  <c r="D45" i="27456"/>
  <c r="C67" i="27458"/>
  <c r="C68"/>
  <c r="M203" i="27444"/>
  <c r="H391" i="27436" s="1"/>
  <c r="F391" s="1"/>
  <c r="M201" i="27444"/>
  <c r="H389" i="27436" s="1"/>
  <c r="L203" i="27444"/>
  <c r="E391" i="27436" s="1"/>
  <c r="G61" i="27452"/>
  <c r="G56"/>
  <c r="C462" i="27436"/>
  <c r="C424"/>
  <c r="F240" i="27444"/>
  <c r="F244" s="1"/>
  <c r="F259" s="1"/>
  <c r="D240"/>
  <c r="D244" s="1"/>
  <c r="D259" s="1"/>
  <c r="G58" i="27452"/>
  <c r="E14" i="27457"/>
  <c r="E13"/>
  <c r="E12"/>
  <c r="E11"/>
  <c r="C14"/>
  <c r="C13"/>
  <c r="C12"/>
  <c r="C11"/>
  <c r="E14" i="27458"/>
  <c r="E13"/>
  <c r="E12"/>
  <c r="E11"/>
  <c r="C14"/>
  <c r="C13"/>
  <c r="C12"/>
  <c r="C11"/>
  <c r="D135" i="27456"/>
  <c r="D129"/>
  <c r="C14"/>
  <c r="C13"/>
  <c r="C12"/>
  <c r="C11"/>
  <c r="E14" i="27459"/>
  <c r="E13"/>
  <c r="E12"/>
  <c r="E11"/>
  <c r="C14"/>
  <c r="C13"/>
  <c r="C12"/>
  <c r="C11"/>
  <c r="H41" i="27445"/>
  <c r="G41"/>
  <c r="F41"/>
  <c r="E41"/>
  <c r="D41"/>
  <c r="O44"/>
  <c r="N44"/>
  <c r="M44"/>
  <c r="L44"/>
  <c r="K44"/>
  <c r="J44"/>
  <c r="I44"/>
  <c r="H44"/>
  <c r="G44"/>
  <c r="F44"/>
  <c r="E44"/>
  <c r="D44"/>
  <c r="L13" i="27444"/>
  <c r="E27" i="27436" s="1"/>
  <c r="L12" i="27444"/>
  <c r="E26" i="27436" s="1"/>
  <c r="L11" i="27444"/>
  <c r="E25" i="27436" s="1"/>
  <c r="L10" i="27444"/>
  <c r="E24" i="27436" s="1"/>
  <c r="M13" i="27444"/>
  <c r="H27" i="27436" s="1"/>
  <c r="M12" i="27444"/>
  <c r="H26" i="27436" s="1"/>
  <c r="M11" i="27444"/>
  <c r="H25" i="27436" s="1"/>
  <c r="M10" i="27444"/>
  <c r="H24" i="27436" s="1"/>
  <c r="F193"/>
  <c r="C597"/>
  <c r="C413"/>
  <c r="C7" i="27455"/>
  <c r="C17"/>
  <c r="C18"/>
  <c r="C8"/>
  <c r="C9"/>
  <c r="C10"/>
  <c r="C11"/>
  <c r="C12"/>
  <c r="C14"/>
  <c r="C15"/>
  <c r="C16"/>
  <c r="C20"/>
  <c r="C21"/>
  <c r="C22"/>
  <c r="C23"/>
  <c r="C24"/>
  <c r="C27"/>
  <c r="C28"/>
  <c r="C29"/>
  <c r="C30"/>
  <c r="C32"/>
  <c r="C33"/>
  <c r="C35"/>
  <c r="C36"/>
  <c r="C37"/>
  <c r="C38"/>
  <c r="G634" i="27436"/>
  <c r="G636"/>
  <c r="N15" i="27452" s="1"/>
  <c r="B5"/>
  <c r="B7"/>
  <c r="B16"/>
  <c r="O16" s="1"/>
  <c r="E61" i="27453" s="1"/>
  <c r="B19" i="27452"/>
  <c r="G242" i="27436"/>
  <c r="D8" i="27452"/>
  <c r="F260" i="27436"/>
  <c r="E4" i="27452"/>
  <c r="E6"/>
  <c r="E8"/>
  <c r="E10"/>
  <c r="E14"/>
  <c r="F321" i="27436"/>
  <c r="E45" i="27452" s="1"/>
  <c r="G355" i="27436"/>
  <c r="G358"/>
  <c r="G360"/>
  <c r="G5" i="27452"/>
  <c r="G7"/>
  <c r="G9"/>
  <c r="G20"/>
  <c r="H10"/>
  <c r="H12"/>
  <c r="H20"/>
  <c r="G551" i="27436"/>
  <c r="F551" s="1"/>
  <c r="I29" i="27452" s="1"/>
  <c r="G552" i="27436"/>
  <c r="G553"/>
  <c r="G554"/>
  <c r="J7" i="27452"/>
  <c r="E17" i="27453"/>
  <c r="E15" s="1"/>
  <c r="E14"/>
  <c r="E6"/>
  <c r="E33" i="27455"/>
  <c r="E133"/>
  <c r="E134"/>
  <c r="E135"/>
  <c r="E136"/>
  <c r="E137"/>
  <c r="C133"/>
  <c r="C134"/>
  <c r="C135"/>
  <c r="C136"/>
  <c r="C137"/>
  <c r="C115"/>
  <c r="E110"/>
  <c r="E112"/>
  <c r="E109"/>
  <c r="E113"/>
  <c r="C113"/>
  <c r="E142" i="27458"/>
  <c r="E132" i="27457"/>
  <c r="E43"/>
  <c r="D148" i="27459"/>
  <c r="E144"/>
  <c r="C111"/>
  <c r="C27"/>
  <c r="D6" i="27456"/>
  <c r="C7"/>
  <c r="C17"/>
  <c r="C18"/>
  <c r="C19"/>
  <c r="C20"/>
  <c r="C22"/>
  <c r="C23"/>
  <c r="C24"/>
  <c r="C25"/>
  <c r="E7"/>
  <c r="D26"/>
  <c r="C27"/>
  <c r="C29"/>
  <c r="C31"/>
  <c r="C32"/>
  <c r="C33"/>
  <c r="C36"/>
  <c r="C37"/>
  <c r="C38"/>
  <c r="C40"/>
  <c r="C55"/>
  <c r="C60"/>
  <c r="C61"/>
  <c r="C62"/>
  <c r="C49"/>
  <c r="C51"/>
  <c r="C53"/>
  <c r="C57"/>
  <c r="C80"/>
  <c r="C79" s="1"/>
  <c r="C78"/>
  <c r="C77" s="1"/>
  <c r="C83"/>
  <c r="C92"/>
  <c r="C98"/>
  <c r="C99"/>
  <c r="C108"/>
  <c r="C102" s="1"/>
  <c r="C110"/>
  <c r="C114"/>
  <c r="C134"/>
  <c r="C136"/>
  <c r="C135" s="1"/>
  <c r="D6" i="27459"/>
  <c r="C7"/>
  <c r="E7"/>
  <c r="E9"/>
  <c r="C15"/>
  <c r="E15"/>
  <c r="E16"/>
  <c r="E17"/>
  <c r="E18"/>
  <c r="E19"/>
  <c r="E20"/>
  <c r="E22"/>
  <c r="E23"/>
  <c r="E24"/>
  <c r="C18"/>
  <c r="C19"/>
  <c r="C20"/>
  <c r="C23"/>
  <c r="C24"/>
  <c r="D26"/>
  <c r="C30"/>
  <c r="E30"/>
  <c r="C31"/>
  <c r="E31"/>
  <c r="C32"/>
  <c r="E32"/>
  <c r="C33"/>
  <c r="E33"/>
  <c r="C34"/>
  <c r="E34"/>
  <c r="C35"/>
  <c r="E35"/>
  <c r="C38"/>
  <c r="E38"/>
  <c r="C39"/>
  <c r="E39"/>
  <c r="D44"/>
  <c r="D45"/>
  <c r="D46"/>
  <c r="D47"/>
  <c r="D48"/>
  <c r="D49"/>
  <c r="D51"/>
  <c r="D52"/>
  <c r="E53"/>
  <c r="C54"/>
  <c r="D54"/>
  <c r="E54"/>
  <c r="D56"/>
  <c r="D57"/>
  <c r="C59"/>
  <c r="C63"/>
  <c r="E59"/>
  <c r="E60"/>
  <c r="E61"/>
  <c r="C60"/>
  <c r="C61"/>
  <c r="C46" s="1"/>
  <c r="E63"/>
  <c r="E64"/>
  <c r="E65"/>
  <c r="E46" s="1"/>
  <c r="E47"/>
  <c r="C48"/>
  <c r="C49"/>
  <c r="C69"/>
  <c r="C50" s="1"/>
  <c r="E69"/>
  <c r="E50" s="1"/>
  <c r="C51"/>
  <c r="C52"/>
  <c r="E79"/>
  <c r="E78" s="1"/>
  <c r="E77"/>
  <c r="E76" s="1"/>
  <c r="C56"/>
  <c r="E57"/>
  <c r="C77"/>
  <c r="C76" s="1"/>
  <c r="C79"/>
  <c r="C82"/>
  <c r="E82"/>
  <c r="E83"/>
  <c r="E84"/>
  <c r="E90"/>
  <c r="E92"/>
  <c r="C91"/>
  <c r="C92"/>
  <c r="C96"/>
  <c r="E96"/>
  <c r="E97"/>
  <c r="C98"/>
  <c r="C99"/>
  <c r="E98"/>
  <c r="E99"/>
  <c r="E104"/>
  <c r="C110"/>
  <c r="E105"/>
  <c r="E110"/>
  <c r="C115"/>
  <c r="C116"/>
  <c r="C120"/>
  <c r="E122"/>
  <c r="C137"/>
  <c r="C136" s="1"/>
  <c r="E137"/>
  <c r="E136" s="1"/>
  <c r="C138"/>
  <c r="E138"/>
  <c r="C141"/>
  <c r="C142"/>
  <c r="E142"/>
  <c r="C144"/>
  <c r="C145"/>
  <c r="C146"/>
  <c r="E143"/>
  <c r="E145"/>
  <c r="E146"/>
  <c r="E148"/>
  <c r="C149"/>
  <c r="C148" s="1"/>
  <c r="C151"/>
  <c r="C150" s="1"/>
  <c r="E151"/>
  <c r="E150" s="1"/>
  <c r="D6" i="27458"/>
  <c r="E7"/>
  <c r="C8"/>
  <c r="E8"/>
  <c r="C9"/>
  <c r="E9"/>
  <c r="C15"/>
  <c r="E15"/>
  <c r="C16"/>
  <c r="E16"/>
  <c r="C17"/>
  <c r="E17"/>
  <c r="C19"/>
  <c r="E19"/>
  <c r="C20"/>
  <c r="E20"/>
  <c r="C21"/>
  <c r="E21"/>
  <c r="C23"/>
  <c r="E23"/>
  <c r="C24"/>
  <c r="E24"/>
  <c r="C25"/>
  <c r="E25"/>
  <c r="C26"/>
  <c r="E26"/>
  <c r="D27"/>
  <c r="C29"/>
  <c r="E29"/>
  <c r="C30"/>
  <c r="E30"/>
  <c r="C31"/>
  <c r="E31"/>
  <c r="C32"/>
  <c r="E32"/>
  <c r="C34"/>
  <c r="E34"/>
  <c r="C35"/>
  <c r="E35"/>
  <c r="C36"/>
  <c r="E36"/>
  <c r="C37"/>
  <c r="E37"/>
  <c r="C39"/>
  <c r="E39"/>
  <c r="C40"/>
  <c r="E40"/>
  <c r="C55"/>
  <c r="E55"/>
  <c r="C60"/>
  <c r="E60"/>
  <c r="C61"/>
  <c r="C47" s="1"/>
  <c r="E61"/>
  <c r="C62"/>
  <c r="E62"/>
  <c r="E67"/>
  <c r="E68"/>
  <c r="C70"/>
  <c r="E70"/>
  <c r="E71"/>
  <c r="E72"/>
  <c r="C49"/>
  <c r="E51"/>
  <c r="C53"/>
  <c r="E57"/>
  <c r="C83"/>
  <c r="C82" s="1"/>
  <c r="E83"/>
  <c r="E82" s="1"/>
  <c r="C85"/>
  <c r="C84" s="1"/>
  <c r="E85"/>
  <c r="E84" s="1"/>
  <c r="C88"/>
  <c r="E88"/>
  <c r="E89"/>
  <c r="E90"/>
  <c r="E91"/>
  <c r="C92"/>
  <c r="C103"/>
  <c r="E103"/>
  <c r="C104"/>
  <c r="E105"/>
  <c r="C112"/>
  <c r="E112"/>
  <c r="C113"/>
  <c r="E113"/>
  <c r="C114"/>
  <c r="E114"/>
  <c r="E96" s="1"/>
  <c r="C117"/>
  <c r="E117"/>
  <c r="C118"/>
  <c r="E118"/>
  <c r="C122"/>
  <c r="E122"/>
  <c r="C124"/>
  <c r="E124"/>
  <c r="C125"/>
  <c r="C126"/>
  <c r="E126"/>
  <c r="C133"/>
  <c r="C130"/>
  <c r="E130"/>
  <c r="E133"/>
  <c r="C144"/>
  <c r="E144"/>
  <c r="C145"/>
  <c r="E145"/>
  <c r="E147"/>
  <c r="E148"/>
  <c r="E149"/>
  <c r="C151"/>
  <c r="E151"/>
  <c r="C152"/>
  <c r="E152"/>
  <c r="E153"/>
  <c r="C154"/>
  <c r="C155"/>
  <c r="E155"/>
  <c r="C157"/>
  <c r="C54" s="1"/>
  <c r="E157"/>
  <c r="E54" s="1"/>
  <c r="C159"/>
  <c r="C158" s="1"/>
  <c r="E159"/>
  <c r="E158" s="1"/>
  <c r="D6" i="27457"/>
  <c r="C7"/>
  <c r="E7"/>
  <c r="E9"/>
  <c r="E15"/>
  <c r="E16"/>
  <c r="E17"/>
  <c r="E19"/>
  <c r="E20"/>
  <c r="E22"/>
  <c r="E23"/>
  <c r="E24"/>
  <c r="C8"/>
  <c r="C19"/>
  <c r="C20"/>
  <c r="C24"/>
  <c r="C9"/>
  <c r="C15"/>
  <c r="C16"/>
  <c r="C17"/>
  <c r="C18"/>
  <c r="C22"/>
  <c r="C23"/>
  <c r="D26"/>
  <c r="C29"/>
  <c r="E29"/>
  <c r="C31"/>
  <c r="E31"/>
  <c r="C32"/>
  <c r="E32"/>
  <c r="E33"/>
  <c r="E34"/>
  <c r="C35"/>
  <c r="E35"/>
  <c r="C36"/>
  <c r="E36"/>
  <c r="C37"/>
  <c r="E37"/>
  <c r="C38"/>
  <c r="E38"/>
  <c r="C42"/>
  <c r="E42"/>
  <c r="D48"/>
  <c r="D49"/>
  <c r="D50"/>
  <c r="D51"/>
  <c r="D52"/>
  <c r="D53"/>
  <c r="D54"/>
  <c r="D55"/>
  <c r="D56"/>
  <c r="D59"/>
  <c r="C62"/>
  <c r="E62"/>
  <c r="C63"/>
  <c r="C50" s="1"/>
  <c r="E63"/>
  <c r="C64"/>
  <c r="E64"/>
  <c r="C69"/>
  <c r="C65" s="1"/>
  <c r="E69"/>
  <c r="E60" s="1"/>
  <c r="C71"/>
  <c r="C51"/>
  <c r="C53"/>
  <c r="C59"/>
  <c r="E71"/>
  <c r="E72"/>
  <c r="E73"/>
  <c r="E55"/>
  <c r="C86"/>
  <c r="E86"/>
  <c r="C83"/>
  <c r="C89"/>
  <c r="E89"/>
  <c r="C98"/>
  <c r="E98"/>
  <c r="E100"/>
  <c r="E101"/>
  <c r="C100"/>
  <c r="C103"/>
  <c r="E103"/>
  <c r="E105"/>
  <c r="C105"/>
  <c r="E109"/>
  <c r="C111"/>
  <c r="E111"/>
  <c r="E114"/>
  <c r="E115"/>
  <c r="E120"/>
  <c r="E121"/>
  <c r="E123"/>
  <c r="C129"/>
  <c r="E129"/>
  <c r="C132"/>
  <c r="C133"/>
  <c r="C136"/>
  <c r="C135"/>
  <c r="E133"/>
  <c r="E136"/>
  <c r="E135"/>
  <c r="D137"/>
  <c r="C138"/>
  <c r="C56" s="1"/>
  <c r="E138"/>
  <c r="E56" s="1"/>
  <c r="C139"/>
  <c r="E140"/>
  <c r="E139" s="1"/>
  <c r="D6" i="27455"/>
  <c r="D25"/>
  <c r="D40"/>
  <c r="E7"/>
  <c r="E8"/>
  <c r="E9"/>
  <c r="E10"/>
  <c r="E11"/>
  <c r="E12"/>
  <c r="E14"/>
  <c r="E15"/>
  <c r="E16"/>
  <c r="E17"/>
  <c r="E18"/>
  <c r="E19"/>
  <c r="E21"/>
  <c r="E22"/>
  <c r="E23"/>
  <c r="E24"/>
  <c r="E27"/>
  <c r="E28"/>
  <c r="E29"/>
  <c r="E30"/>
  <c r="E32"/>
  <c r="E35"/>
  <c r="E37"/>
  <c r="E38"/>
  <c r="D43"/>
  <c r="D142"/>
  <c r="D44"/>
  <c r="D45"/>
  <c r="D46"/>
  <c r="D47"/>
  <c r="D48"/>
  <c r="D49"/>
  <c r="D51"/>
  <c r="D52"/>
  <c r="D53"/>
  <c r="C54"/>
  <c r="D54"/>
  <c r="E54"/>
  <c r="D55"/>
  <c r="D56"/>
  <c r="D57"/>
  <c r="C59"/>
  <c r="E59"/>
  <c r="C60"/>
  <c r="E60"/>
  <c r="C61"/>
  <c r="C70"/>
  <c r="E61"/>
  <c r="C64"/>
  <c r="C65"/>
  <c r="C66"/>
  <c r="E64"/>
  <c r="E65"/>
  <c r="C68"/>
  <c r="C69"/>
  <c r="C71"/>
  <c r="C47" s="1"/>
  <c r="C72"/>
  <c r="C48" s="1"/>
  <c r="C73"/>
  <c r="C49" s="1"/>
  <c r="C74"/>
  <c r="C50"/>
  <c r="C75"/>
  <c r="C51" s="1"/>
  <c r="C76"/>
  <c r="C52" s="1"/>
  <c r="C78"/>
  <c r="C79"/>
  <c r="C56" s="1"/>
  <c r="C80"/>
  <c r="E68"/>
  <c r="E69"/>
  <c r="E70"/>
  <c r="E71"/>
  <c r="E47" s="1"/>
  <c r="E72"/>
  <c r="E48" s="1"/>
  <c r="E73"/>
  <c r="E49" s="1"/>
  <c r="E74"/>
  <c r="E50" s="1"/>
  <c r="E75"/>
  <c r="E51" s="1"/>
  <c r="E76"/>
  <c r="C84"/>
  <c r="C83" s="1"/>
  <c r="E78"/>
  <c r="E84"/>
  <c r="E83" s="1"/>
  <c r="E79"/>
  <c r="E56" s="1"/>
  <c r="E80"/>
  <c r="E57" s="1"/>
  <c r="C81"/>
  <c r="E81"/>
  <c r="C86"/>
  <c r="C88"/>
  <c r="C89"/>
  <c r="C90"/>
  <c r="C91"/>
  <c r="E86"/>
  <c r="E88"/>
  <c r="E89"/>
  <c r="E90"/>
  <c r="E91"/>
  <c r="C93"/>
  <c r="E93"/>
  <c r="C94"/>
  <c r="C95"/>
  <c r="E94"/>
  <c r="E95"/>
  <c r="C97"/>
  <c r="E97"/>
  <c r="C98"/>
  <c r="E98"/>
  <c r="C99"/>
  <c r="E99"/>
  <c r="C100"/>
  <c r="E100"/>
  <c r="E96" s="1"/>
  <c r="D103"/>
  <c r="C104"/>
  <c r="E104"/>
  <c r="C105"/>
  <c r="E105"/>
  <c r="C106"/>
  <c r="E106"/>
  <c r="C107"/>
  <c r="E107"/>
  <c r="D108"/>
  <c r="C109"/>
  <c r="C110"/>
  <c r="C112"/>
  <c r="C111"/>
  <c r="D114"/>
  <c r="C116"/>
  <c r="C117"/>
  <c r="C118"/>
  <c r="C119"/>
  <c r="E116"/>
  <c r="E117"/>
  <c r="E118"/>
  <c r="E119"/>
  <c r="C120"/>
  <c r="D120"/>
  <c r="E120"/>
  <c r="C123"/>
  <c r="C124"/>
  <c r="C125"/>
  <c r="C126"/>
  <c r="E123"/>
  <c r="E124"/>
  <c r="E126"/>
  <c r="E125"/>
  <c r="C128"/>
  <c r="C129"/>
  <c r="E128"/>
  <c r="E127" s="1"/>
  <c r="E129"/>
  <c r="C131"/>
  <c r="C130" s="1"/>
  <c r="E131"/>
  <c r="E130" s="1"/>
  <c r="D138"/>
  <c r="C139"/>
  <c r="C138" s="1"/>
  <c r="E139"/>
  <c r="E138" s="1"/>
  <c r="C141"/>
  <c r="C140" s="1"/>
  <c r="E141"/>
  <c r="E140" s="1"/>
  <c r="D12" i="27446"/>
  <c r="G12"/>
  <c r="D13"/>
  <c r="G13"/>
  <c r="D14"/>
  <c r="E14" i="27448"/>
  <c r="G14" i="27446"/>
  <c r="H14" i="27448" s="1"/>
  <c r="D15" i="27446"/>
  <c r="E15" i="27448" s="1"/>
  <c r="G15" i="27446"/>
  <c r="H15" i="27448" s="1"/>
  <c r="D16" i="27446"/>
  <c r="E16" i="27448" s="1"/>
  <c r="G16" i="27446"/>
  <c r="H16" i="27448" s="1"/>
  <c r="D17" i="27446"/>
  <c r="E17"/>
  <c r="F17" i="27448" s="1"/>
  <c r="G17" i="27446"/>
  <c r="H17"/>
  <c r="I17" i="27448" s="1"/>
  <c r="D22" i="27446"/>
  <c r="E18" i="27448" s="1"/>
  <c r="E22" i="27446"/>
  <c r="F18" i="27448" s="1"/>
  <c r="G22" i="27446"/>
  <c r="H18" i="27448" s="1"/>
  <c r="H22" i="27446"/>
  <c r="I18" i="27448" s="1"/>
  <c r="D23" i="27446"/>
  <c r="E23"/>
  <c r="G23"/>
  <c r="H23"/>
  <c r="D24"/>
  <c r="E19" i="27448" s="1"/>
  <c r="E24" i="27446"/>
  <c r="F19" i="27448" s="1"/>
  <c r="D19" s="1"/>
  <c r="G24" i="27446"/>
  <c r="H24"/>
  <c r="I19" i="27448" s="1"/>
  <c r="D25" i="27446"/>
  <c r="E25"/>
  <c r="G25"/>
  <c r="H25"/>
  <c r="D26"/>
  <c r="E20" i="27448" s="1"/>
  <c r="E26" i="27446"/>
  <c r="F20" i="27448" s="1"/>
  <c r="G26" i="27446"/>
  <c r="H20" i="27448" s="1"/>
  <c r="H26" i="27446"/>
  <c r="I20" i="27448" s="1"/>
  <c r="D27" i="27446"/>
  <c r="G27"/>
  <c r="F27" s="1"/>
  <c r="H27"/>
  <c r="D28"/>
  <c r="C28" s="1"/>
  <c r="E28"/>
  <c r="G28"/>
  <c r="H21" i="27448" s="1"/>
  <c r="D29" i="27446"/>
  <c r="E29"/>
  <c r="F22" i="27448" s="1"/>
  <c r="G29" i="27446"/>
  <c r="H29"/>
  <c r="I22" i="27448" s="1"/>
  <c r="D30" i="27446"/>
  <c r="E23" i="27448" s="1"/>
  <c r="G30" i="27446"/>
  <c r="H23" i="27448" s="1"/>
  <c r="H30" i="27446"/>
  <c r="I23" i="27448" s="1"/>
  <c r="D31" i="27446"/>
  <c r="E24" i="27448" s="1"/>
  <c r="G31" i="27446"/>
  <c r="H24" i="27448" s="1"/>
  <c r="D32" i="27446"/>
  <c r="E25" i="27448" s="1"/>
  <c r="E32" i="27446"/>
  <c r="F25" i="27448" s="1"/>
  <c r="G32" i="27446"/>
  <c r="H25" i="27448" s="1"/>
  <c r="D33" i="27446"/>
  <c r="E26" i="27448" s="1"/>
  <c r="E33" i="27446"/>
  <c r="G33"/>
  <c r="H33"/>
  <c r="I26" i="27448" s="1"/>
  <c r="D34" i="27446"/>
  <c r="E27" i="27448" s="1"/>
  <c r="E34" i="27446"/>
  <c r="F27" i="27448" s="1"/>
  <c r="G34" i="27446"/>
  <c r="H27" i="27448" s="1"/>
  <c r="H34" i="27446"/>
  <c r="I27" i="27448" s="1"/>
  <c r="G27" s="1"/>
  <c r="D35" i="27446"/>
  <c r="E28" i="27448" s="1"/>
  <c r="E35" i="27446"/>
  <c r="F28" i="27448" s="1"/>
  <c r="G35" i="27446"/>
  <c r="H28" i="27448" s="1"/>
  <c r="H35" i="27446"/>
  <c r="I28" i="27448" s="1"/>
  <c r="D36" i="27446"/>
  <c r="E36"/>
  <c r="G36"/>
  <c r="H36"/>
  <c r="D37"/>
  <c r="E37"/>
  <c r="F29" i="27448" s="1"/>
  <c r="G37" i="27446"/>
  <c r="H29" i="27448" s="1"/>
  <c r="H37" i="27446"/>
  <c r="I29" i="27448" s="1"/>
  <c r="D38" i="27446"/>
  <c r="E30" i="27448" s="1"/>
  <c r="E38" i="27446"/>
  <c r="F30" i="27448" s="1"/>
  <c r="G38" i="27446"/>
  <c r="H30" i="27448" s="1"/>
  <c r="H38" i="27446"/>
  <c r="D39"/>
  <c r="E31" i="27448" s="1"/>
  <c r="E39" i="27446"/>
  <c r="F31" i="27448" s="1"/>
  <c r="G39" i="27446"/>
  <c r="H31" i="27448" s="1"/>
  <c r="H39" i="27446"/>
  <c r="I31" i="27448" s="1"/>
  <c r="D40" i="27446"/>
  <c r="E32" i="27448" s="1"/>
  <c r="E40" i="27446"/>
  <c r="F32" i="27448" s="1"/>
  <c r="G40" i="27446"/>
  <c r="H32" i="27448" s="1"/>
  <c r="H40" i="27446"/>
  <c r="I32" i="27448" s="1"/>
  <c r="D41" i="27446"/>
  <c r="E33" i="27448" s="1"/>
  <c r="G41" i="27446"/>
  <c r="H33" i="27448" s="1"/>
  <c r="D42" i="27446"/>
  <c r="E34" i="27448" s="1"/>
  <c r="E42" i="27446"/>
  <c r="F34" i="27448" s="1"/>
  <c r="D34" s="1"/>
  <c r="G42" i="27446"/>
  <c r="H34" i="27448" s="1"/>
  <c r="H42" i="27446"/>
  <c r="I34" i="27448" s="1"/>
  <c r="D43" i="27446"/>
  <c r="E35" i="27448" s="1"/>
  <c r="E43" i="27446"/>
  <c r="F35" i="27448" s="1"/>
  <c r="G43" i="27446"/>
  <c r="H35" i="27448" s="1"/>
  <c r="H43" i="27446"/>
  <c r="I35" i="27448" s="1"/>
  <c r="D44" i="27446"/>
  <c r="E36" i="27448" s="1"/>
  <c r="E44" i="27446"/>
  <c r="C44" s="1"/>
  <c r="G44"/>
  <c r="H36" i="27448" s="1"/>
  <c r="H44" i="27446"/>
  <c r="I36" i="27448" s="1"/>
  <c r="D45" i="27446"/>
  <c r="G45"/>
  <c r="H37" i="27448" s="1"/>
  <c r="D46" i="27446"/>
  <c r="E46"/>
  <c r="G46"/>
  <c r="H46"/>
  <c r="D47"/>
  <c r="E47"/>
  <c r="G47"/>
  <c r="H47"/>
  <c r="D48"/>
  <c r="G48"/>
  <c r="D49"/>
  <c r="E49"/>
  <c r="F38" i="27448" s="1"/>
  <c r="G49" i="27446"/>
  <c r="H49"/>
  <c r="I38" i="27448" s="1"/>
  <c r="D50" i="27446"/>
  <c r="G50"/>
  <c r="D51"/>
  <c r="G51"/>
  <c r="H40" i="27448" s="1"/>
  <c r="D52" i="27446"/>
  <c r="E52"/>
  <c r="G52"/>
  <c r="H52"/>
  <c r="D53"/>
  <c r="E53"/>
  <c r="G53"/>
  <c r="H53"/>
  <c r="D54"/>
  <c r="E54"/>
  <c r="G54"/>
  <c r="H54"/>
  <c r="D55"/>
  <c r="E55"/>
  <c r="G55"/>
  <c r="H55"/>
  <c r="D56"/>
  <c r="E56"/>
  <c r="F41" i="27448" s="1"/>
  <c r="G56" i="27446"/>
  <c r="H56"/>
  <c r="I41" i="27448" s="1"/>
  <c r="D57" i="27446"/>
  <c r="E57"/>
  <c r="F42" i="27448" s="1"/>
  <c r="G57" i="27446"/>
  <c r="H42" i="27448" s="1"/>
  <c r="H57" i="27446"/>
  <c r="I42" i="27448" s="1"/>
  <c r="D58" i="27446"/>
  <c r="E43" i="27448" s="1"/>
  <c r="E58" i="27446"/>
  <c r="F43" i="27448" s="1"/>
  <c r="G58" i="27446"/>
  <c r="H43" i="27448" s="1"/>
  <c r="H58" i="27446"/>
  <c r="I43" i="27448" s="1"/>
  <c r="D59" i="27446"/>
  <c r="E44" i="27448" s="1"/>
  <c r="E59" i="27446"/>
  <c r="F44" i="27448" s="1"/>
  <c r="G59" i="27446"/>
  <c r="H59"/>
  <c r="I44" i="27448" s="1"/>
  <c r="D60" i="27446"/>
  <c r="E60"/>
  <c r="F45" i="27448" s="1"/>
  <c r="G60" i="27446"/>
  <c r="H45" i="27448" s="1"/>
  <c r="H60" i="27446"/>
  <c r="I45" i="27448" s="1"/>
  <c r="E61" i="27446"/>
  <c r="H61"/>
  <c r="F61" s="1"/>
  <c r="D62"/>
  <c r="E62"/>
  <c r="F46" i="27448" s="1"/>
  <c r="G62" i="27446"/>
  <c r="H46" i="27448" s="1"/>
  <c r="H62" i="27446"/>
  <c r="I46" i="27448" s="1"/>
  <c r="D63" i="27446"/>
  <c r="E63"/>
  <c r="G63"/>
  <c r="H47" i="27448" s="1"/>
  <c r="H63" i="27446"/>
  <c r="I47" i="27448" s="1"/>
  <c r="D64" i="27446"/>
  <c r="E48" i="27448" s="1"/>
  <c r="E64" i="27446"/>
  <c r="F48" i="27448" s="1"/>
  <c r="G64" i="27446"/>
  <c r="H48" i="27448" s="1"/>
  <c r="H64" i="27446"/>
  <c r="I48" i="27448" s="1"/>
  <c r="D65" i="27446"/>
  <c r="E49" i="27448" s="1"/>
  <c r="E65" i="27446"/>
  <c r="F49" i="27448" s="1"/>
  <c r="G65" i="27446"/>
  <c r="H49" i="27448" s="1"/>
  <c r="H65" i="27446"/>
  <c r="I49" i="27448" s="1"/>
  <c r="D66" i="27446"/>
  <c r="E66"/>
  <c r="F50" i="27448" s="1"/>
  <c r="G66" i="27446"/>
  <c r="H50" i="27448" s="1"/>
  <c r="H66" i="27446"/>
  <c r="I50" i="27448" s="1"/>
  <c r="D67" i="27446"/>
  <c r="E67"/>
  <c r="F51" i="27448" s="1"/>
  <c r="G67" i="27446"/>
  <c r="H67"/>
  <c r="I51" i="27448" s="1"/>
  <c r="D68" i="27446"/>
  <c r="E52" i="27448" s="1"/>
  <c r="E68" i="27446"/>
  <c r="G68"/>
  <c r="H68"/>
  <c r="I52" i="27448" s="1"/>
  <c r="D69" i="27446"/>
  <c r="E69"/>
  <c r="F53" i="27448" s="1"/>
  <c r="G69" i="27446"/>
  <c r="H69"/>
  <c r="I53" i="27448" s="1"/>
  <c r="D70" i="27446"/>
  <c r="E70"/>
  <c r="C70" s="1"/>
  <c r="G70"/>
  <c r="H70"/>
  <c r="C71"/>
  <c r="G71"/>
  <c r="F71" s="1"/>
  <c r="D72"/>
  <c r="C72" s="1"/>
  <c r="G72"/>
  <c r="F72" s="1"/>
  <c r="D74"/>
  <c r="C74" s="1"/>
  <c r="G74"/>
  <c r="H74"/>
  <c r="D75"/>
  <c r="E54" i="27448" s="1"/>
  <c r="D54" s="1"/>
  <c r="E75" i="27446"/>
  <c r="F54" i="27448" s="1"/>
  <c r="G75" i="27446"/>
  <c r="H54" i="27448" s="1"/>
  <c r="H75" i="27446"/>
  <c r="D76"/>
  <c r="E55" i="27448" s="1"/>
  <c r="G76" i="27446"/>
  <c r="H76"/>
  <c r="I55" i="27448" s="1"/>
  <c r="D77" i="27446"/>
  <c r="E56" i="27448" s="1"/>
  <c r="E77" i="27446"/>
  <c r="F56" i="27448" s="1"/>
  <c r="G77" i="27446"/>
  <c r="H77"/>
  <c r="I56" i="27448" s="1"/>
  <c r="D78" i="27446"/>
  <c r="E57" i="27448" s="1"/>
  <c r="G78" i="27446"/>
  <c r="H57" i="27448" s="1"/>
  <c r="D79" i="27446"/>
  <c r="E58" i="27448" s="1"/>
  <c r="E79" i="27446"/>
  <c r="C79" s="1"/>
  <c r="G79"/>
  <c r="H58" i="27448" s="1"/>
  <c r="G58" s="1"/>
  <c r="H79" i="27446"/>
  <c r="I58" i="27448" s="1"/>
  <c r="D80" i="27446"/>
  <c r="E59" i="27448" s="1"/>
  <c r="G80" i="27446"/>
  <c r="D81"/>
  <c r="E60" i="27448" s="1"/>
  <c r="E81" i="27446"/>
  <c r="F60" i="27448" s="1"/>
  <c r="D60" s="1"/>
  <c r="G81" i="27446"/>
  <c r="H60" i="27448" s="1"/>
  <c r="H81" i="27446"/>
  <c r="D82"/>
  <c r="E61" i="27448" s="1"/>
  <c r="G82" i="27446"/>
  <c r="H61" i="27448" s="1"/>
  <c r="G61" s="1"/>
  <c r="H82" i="27446"/>
  <c r="I61" i="27448" s="1"/>
  <c r="D84" i="27446"/>
  <c r="E71" i="27448" s="1"/>
  <c r="E84" i="27446"/>
  <c r="G84"/>
  <c r="H71" i="27448" s="1"/>
  <c r="H84" i="27446"/>
  <c r="D85"/>
  <c r="G85"/>
  <c r="D86"/>
  <c r="C86" s="1"/>
  <c r="E86"/>
  <c r="G86"/>
  <c r="H86"/>
  <c r="D87"/>
  <c r="E72" i="27448" s="1"/>
  <c r="G87" i="27446"/>
  <c r="D88"/>
  <c r="C88" s="1"/>
  <c r="E88"/>
  <c r="G88"/>
  <c r="F88" s="1"/>
  <c r="H88"/>
  <c r="D89"/>
  <c r="E89"/>
  <c r="G89"/>
  <c r="F89" s="1"/>
  <c r="H89"/>
  <c r="D90"/>
  <c r="E73" i="27448" s="1"/>
  <c r="G90" i="27446"/>
  <c r="H73" i="27448" s="1"/>
  <c r="D91" i="27446"/>
  <c r="C91" s="1"/>
  <c r="E91"/>
  <c r="G91"/>
  <c r="F91" s="1"/>
  <c r="H91"/>
  <c r="D92"/>
  <c r="G92"/>
  <c r="D93"/>
  <c r="E76" i="27448" s="1"/>
  <c r="D76" s="1"/>
  <c r="E93" i="27446"/>
  <c r="F76" i="27448" s="1"/>
  <c r="G93" i="27446"/>
  <c r="H93"/>
  <c r="D94"/>
  <c r="E77" i="27448" s="1"/>
  <c r="G94" i="27446"/>
  <c r="D95"/>
  <c r="E95"/>
  <c r="G95"/>
  <c r="F95" s="1"/>
  <c r="H95"/>
  <c r="D96"/>
  <c r="E78" i="27448" s="1"/>
  <c r="G96" i="27446"/>
  <c r="H78" i="27448" s="1"/>
  <c r="D97" i="27446"/>
  <c r="E97"/>
  <c r="F79" i="27448" s="1"/>
  <c r="G97" i="27446"/>
  <c r="H79" i="27448" s="1"/>
  <c r="H97" i="27446"/>
  <c r="I79" i="27448" s="1"/>
  <c r="D98" i="27446"/>
  <c r="E80" i="27448" s="1"/>
  <c r="D80" s="1"/>
  <c r="E98" i="27446"/>
  <c r="F80" i="27448" s="1"/>
  <c r="G98" i="27446"/>
  <c r="H80" i="27448" s="1"/>
  <c r="H98" i="27446"/>
  <c r="D99"/>
  <c r="E81" i="27448" s="1"/>
  <c r="E99" i="27446"/>
  <c r="G99"/>
  <c r="H81" i="27448" s="1"/>
  <c r="H99" i="27446"/>
  <c r="D100"/>
  <c r="G100"/>
  <c r="D101"/>
  <c r="E101"/>
  <c r="G101"/>
  <c r="F101" s="1"/>
  <c r="H101"/>
  <c r="D102"/>
  <c r="E102"/>
  <c r="G102"/>
  <c r="F102" s="1"/>
  <c r="H102"/>
  <c r="D103"/>
  <c r="C103" s="1"/>
  <c r="E103"/>
  <c r="G103"/>
  <c r="H103"/>
  <c r="D104"/>
  <c r="G104"/>
  <c r="D105"/>
  <c r="E82" i="27448" s="1"/>
  <c r="E105" i="27446"/>
  <c r="G105"/>
  <c r="H82" i="27448" s="1"/>
  <c r="H105" i="27446"/>
  <c r="D106"/>
  <c r="D116" s="1"/>
  <c r="C116" s="1"/>
  <c r="E106"/>
  <c r="F83" i="27448" s="1"/>
  <c r="G106" i="27446"/>
  <c r="G116" s="1"/>
  <c r="F116" s="1"/>
  <c r="H106"/>
  <c r="I83" i="27448"/>
  <c r="D107" i="27446"/>
  <c r="E107"/>
  <c r="G107"/>
  <c r="H107"/>
  <c r="D108"/>
  <c r="E108"/>
  <c r="G108"/>
  <c r="H108"/>
  <c r="F108" s="1"/>
  <c r="D109"/>
  <c r="E109"/>
  <c r="G109"/>
  <c r="H109"/>
  <c r="F109" s="1"/>
  <c r="D110"/>
  <c r="E84" i="27448"/>
  <c r="E110" i="27446"/>
  <c r="F84" i="27448"/>
  <c r="G110" i="27446"/>
  <c r="H110"/>
  <c r="I84" i="27448" s="1"/>
  <c r="D111" i="27446"/>
  <c r="E85" i="27448" s="1"/>
  <c r="G111" i="27446"/>
  <c r="H85" i="27448" s="1"/>
  <c r="D112" i="27446"/>
  <c r="E112"/>
  <c r="C112" s="1"/>
  <c r="G112"/>
  <c r="H112"/>
  <c r="F112" s="1"/>
  <c r="D113"/>
  <c r="E113"/>
  <c r="G113"/>
  <c r="H113"/>
  <c r="D114"/>
  <c r="G114"/>
  <c r="H87" i="27448" s="1"/>
  <c r="D135" i="27446"/>
  <c r="E135"/>
  <c r="G135"/>
  <c r="H135"/>
  <c r="C136"/>
  <c r="F136"/>
  <c r="C137"/>
  <c r="F137"/>
  <c r="C138"/>
  <c r="F138"/>
  <c r="D142"/>
  <c r="E142"/>
  <c r="G142"/>
  <c r="H142"/>
  <c r="C143"/>
  <c r="F143"/>
  <c r="C144"/>
  <c r="F144"/>
  <c r="C145"/>
  <c r="F145"/>
  <c r="C146"/>
  <c r="F146"/>
  <c r="C147"/>
  <c r="F147"/>
  <c r="C149"/>
  <c r="F149"/>
  <c r="C153"/>
  <c r="F153"/>
  <c r="C154"/>
  <c r="F154"/>
  <c r="C155"/>
  <c r="F155"/>
  <c r="C156"/>
  <c r="F156"/>
  <c r="C157"/>
  <c r="F157"/>
  <c r="C158"/>
  <c r="F158"/>
  <c r="C159"/>
  <c r="F159"/>
  <c r="C160"/>
  <c r="F160"/>
  <c r="C161"/>
  <c r="F161"/>
  <c r="C162"/>
  <c r="F162"/>
  <c r="C163"/>
  <c r="F163"/>
  <c r="C164"/>
  <c r="F164"/>
  <c r="C165"/>
  <c r="F165"/>
  <c r="C167"/>
  <c r="F167"/>
  <c r="C168"/>
  <c r="F168"/>
  <c r="E152"/>
  <c r="C187"/>
  <c r="F187"/>
  <c r="C195"/>
  <c r="F195"/>
  <c r="C196"/>
  <c r="F196"/>
  <c r="C197"/>
  <c r="F197"/>
  <c r="C198"/>
  <c r="F198"/>
  <c r="C199"/>
  <c r="F199"/>
  <c r="C200"/>
  <c r="F200"/>
  <c r="C201"/>
  <c r="C202"/>
  <c r="F202"/>
  <c r="C203"/>
  <c r="F203"/>
  <c r="C204"/>
  <c r="F204"/>
  <c r="C205"/>
  <c r="F205"/>
  <c r="C206"/>
  <c r="F206"/>
  <c r="C207"/>
  <c r="F207"/>
  <c r="C208"/>
  <c r="F208"/>
  <c r="C242"/>
  <c r="F242"/>
  <c r="E246"/>
  <c r="G246"/>
  <c r="F246"/>
  <c r="H246"/>
  <c r="C247"/>
  <c r="F247"/>
  <c r="D248"/>
  <c r="E248"/>
  <c r="G248"/>
  <c r="H248"/>
  <c r="C249"/>
  <c r="F249"/>
  <c r="D251"/>
  <c r="C251"/>
  <c r="E251"/>
  <c r="G251"/>
  <c r="F251"/>
  <c r="H251"/>
  <c r="C252"/>
  <c r="F252"/>
  <c r="C253"/>
  <c r="F253"/>
  <c r="C254"/>
  <c r="F254"/>
  <c r="C255"/>
  <c r="F255"/>
  <c r="C256"/>
  <c r="F256"/>
  <c r="C257"/>
  <c r="F257"/>
  <c r="C258"/>
  <c r="F258"/>
  <c r="C259"/>
  <c r="F259"/>
  <c r="C260"/>
  <c r="F260"/>
  <c r="C261"/>
  <c r="F261"/>
  <c r="C262"/>
  <c r="F262"/>
  <c r="C263"/>
  <c r="F263"/>
  <c r="C264"/>
  <c r="F264"/>
  <c r="C265"/>
  <c r="F265"/>
  <c r="C266"/>
  <c r="F266"/>
  <c r="F284"/>
  <c r="D287"/>
  <c r="E287"/>
  <c r="G287"/>
  <c r="H287"/>
  <c r="C288"/>
  <c r="F288"/>
  <c r="C289"/>
  <c r="F289"/>
  <c r="C290"/>
  <c r="F290"/>
  <c r="C291"/>
  <c r="F291"/>
  <c r="C292"/>
  <c r="F292"/>
  <c r="C293"/>
  <c r="F293"/>
  <c r="C294"/>
  <c r="F294"/>
  <c r="C295"/>
  <c r="F295"/>
  <c r="C296"/>
  <c r="F296"/>
  <c r="C297"/>
  <c r="F297"/>
  <c r="C299"/>
  <c r="F299"/>
  <c r="C300"/>
  <c r="F300"/>
  <c r="D301"/>
  <c r="E301"/>
  <c r="G301"/>
  <c r="H301"/>
  <c r="C302"/>
  <c r="F302"/>
  <c r="C303"/>
  <c r="F303"/>
  <c r="C304"/>
  <c r="F304"/>
  <c r="C306"/>
  <c r="F306"/>
  <c r="C307"/>
  <c r="F307"/>
  <c r="C308"/>
  <c r="F308"/>
  <c r="C309"/>
  <c r="F309"/>
  <c r="C310"/>
  <c r="F310"/>
  <c r="D315"/>
  <c r="E315"/>
  <c r="G315"/>
  <c r="H315"/>
  <c r="C316"/>
  <c r="F316"/>
  <c r="C317"/>
  <c r="F317"/>
  <c r="C318"/>
  <c r="F318"/>
  <c r="C319"/>
  <c r="F319"/>
  <c r="C320"/>
  <c r="F320"/>
  <c r="C321"/>
  <c r="F321"/>
  <c r="C322"/>
  <c r="F322"/>
  <c r="C323"/>
  <c r="F323"/>
  <c r="C324"/>
  <c r="F324"/>
  <c r="C325"/>
  <c r="F325"/>
  <c r="C326"/>
  <c r="F326"/>
  <c r="C327"/>
  <c r="F327"/>
  <c r="C328"/>
  <c r="F328"/>
  <c r="D334"/>
  <c r="E334"/>
  <c r="G334"/>
  <c r="H334"/>
  <c r="C335"/>
  <c r="F335"/>
  <c r="C336"/>
  <c r="F336"/>
  <c r="C337"/>
  <c r="F337"/>
  <c r="C338"/>
  <c r="F338"/>
  <c r="C339"/>
  <c r="F339"/>
  <c r="C340"/>
  <c r="F340"/>
  <c r="C341"/>
  <c r="F341"/>
  <c r="C342"/>
  <c r="F342"/>
  <c r="C343"/>
  <c r="F343"/>
  <c r="C344"/>
  <c r="F344"/>
  <c r="C345"/>
  <c r="F345"/>
  <c r="C346"/>
  <c r="F346"/>
  <c r="G348"/>
  <c r="H195" i="27448"/>
  <c r="E349" i="27446"/>
  <c r="G349"/>
  <c r="H349"/>
  <c r="E350"/>
  <c r="H350"/>
  <c r="C351"/>
  <c r="E351"/>
  <c r="H351"/>
  <c r="E352"/>
  <c r="C352"/>
  <c r="H352"/>
  <c r="D353"/>
  <c r="C353"/>
  <c r="G353"/>
  <c r="F353"/>
  <c r="C354"/>
  <c r="C357"/>
  <c r="F357"/>
  <c r="C358"/>
  <c r="F358"/>
  <c r="C359"/>
  <c r="F359"/>
  <c r="C360"/>
  <c r="F360"/>
  <c r="C361"/>
  <c r="F361"/>
  <c r="C362"/>
  <c r="F362"/>
  <c r="C363"/>
  <c r="F363"/>
  <c r="C364"/>
  <c r="F364"/>
  <c r="C365"/>
  <c r="F365"/>
  <c r="C366"/>
  <c r="F366"/>
  <c r="C367"/>
  <c r="F367"/>
  <c r="C368"/>
  <c r="F368"/>
  <c r="C369"/>
  <c r="F369"/>
  <c r="C371"/>
  <c r="F371"/>
  <c r="C372"/>
  <c r="F372"/>
  <c r="C374"/>
  <c r="F374"/>
  <c r="C375"/>
  <c r="F375"/>
  <c r="C376"/>
  <c r="F376"/>
  <c r="C377"/>
  <c r="F377"/>
  <c r="C378"/>
  <c r="G378"/>
  <c r="F378"/>
  <c r="C380"/>
  <c r="F380"/>
  <c r="C381"/>
  <c r="F381"/>
  <c r="C382"/>
  <c r="F382"/>
  <c r="C383"/>
  <c r="F383"/>
  <c r="C384"/>
  <c r="F384"/>
  <c r="C385"/>
  <c r="F385"/>
  <c r="F393"/>
  <c r="C399"/>
  <c r="D400"/>
  <c r="C400"/>
  <c r="G400"/>
  <c r="F400"/>
  <c r="C401"/>
  <c r="F401"/>
  <c r="C402"/>
  <c r="F402"/>
  <c r="C403"/>
  <c r="F403"/>
  <c r="C404"/>
  <c r="F404"/>
  <c r="C405"/>
  <c r="F405"/>
  <c r="C406"/>
  <c r="F406"/>
  <c r="C407"/>
  <c r="F407"/>
  <c r="C408"/>
  <c r="F408"/>
  <c r="C409"/>
  <c r="F409"/>
  <c r="C410"/>
  <c r="F410"/>
  <c r="C411"/>
  <c r="F411"/>
  <c r="C412"/>
  <c r="F412"/>
  <c r="C413"/>
  <c r="F413"/>
  <c r="C414"/>
  <c r="F414"/>
  <c r="C415"/>
  <c r="F415"/>
  <c r="D416"/>
  <c r="E416"/>
  <c r="G416"/>
  <c r="H416"/>
  <c r="C417"/>
  <c r="F417"/>
  <c r="C418"/>
  <c r="F418"/>
  <c r="C419"/>
  <c r="F419"/>
  <c r="C420"/>
  <c r="F420"/>
  <c r="C422"/>
  <c r="F422"/>
  <c r="D423"/>
  <c r="E423"/>
  <c r="G423"/>
  <c r="H423"/>
  <c r="C424"/>
  <c r="F424"/>
  <c r="C425"/>
  <c r="F425"/>
  <c r="C426"/>
  <c r="F426"/>
  <c r="C427"/>
  <c r="F427"/>
  <c r="C429"/>
  <c r="F429"/>
  <c r="C430"/>
  <c r="F430"/>
  <c r="C431"/>
  <c r="F431"/>
  <c r="C432"/>
  <c r="F432"/>
  <c r="C441"/>
  <c r="F442"/>
  <c r="C443"/>
  <c r="F443"/>
  <c r="C444"/>
  <c r="F444"/>
  <c r="C445"/>
  <c r="F445"/>
  <c r="C446"/>
  <c r="F446"/>
  <c r="C447"/>
  <c r="F447"/>
  <c r="C448"/>
  <c r="F448"/>
  <c r="C449"/>
  <c r="F449"/>
  <c r="C450"/>
  <c r="F450"/>
  <c r="C451"/>
  <c r="F451"/>
  <c r="C452"/>
  <c r="F452"/>
  <c r="C453"/>
  <c r="F453"/>
  <c r="C454"/>
  <c r="F454"/>
  <c r="C455"/>
  <c r="F455"/>
  <c r="C456"/>
  <c r="F456"/>
  <c r="C457"/>
  <c r="F457"/>
  <c r="C458"/>
  <c r="F458"/>
  <c r="D459"/>
  <c r="E459"/>
  <c r="G459"/>
  <c r="H459"/>
  <c r="C460"/>
  <c r="F460"/>
  <c r="C461"/>
  <c r="F461"/>
  <c r="C462"/>
  <c r="F462"/>
  <c r="C463"/>
  <c r="F463"/>
  <c r="C464"/>
  <c r="F464"/>
  <c r="C468"/>
  <c r="F468"/>
  <c r="C469"/>
  <c r="F469"/>
  <c r="C470"/>
  <c r="C471"/>
  <c r="F471"/>
  <c r="C472"/>
  <c r="F472"/>
  <c r="C473"/>
  <c r="F473"/>
  <c r="C475"/>
  <c r="F475"/>
  <c r="D477"/>
  <c r="C434"/>
  <c r="G477"/>
  <c r="C480"/>
  <c r="F480"/>
  <c r="C481"/>
  <c r="F481"/>
  <c r="C482"/>
  <c r="F482"/>
  <c r="C483"/>
  <c r="F483"/>
  <c r="C484"/>
  <c r="F484"/>
  <c r="G485"/>
  <c r="C487"/>
  <c r="C488"/>
  <c r="F488"/>
  <c r="C489"/>
  <c r="F489"/>
  <c r="D490"/>
  <c r="E490"/>
  <c r="G490"/>
  <c r="H490"/>
  <c r="C491"/>
  <c r="F491"/>
  <c r="D492"/>
  <c r="G492"/>
  <c r="C495"/>
  <c r="F495"/>
  <c r="C496"/>
  <c r="F496"/>
  <c r="C497"/>
  <c r="F497"/>
  <c r="C500"/>
  <c r="C501"/>
  <c r="C502"/>
  <c r="C503"/>
  <c r="D504"/>
  <c r="C504"/>
  <c r="G504"/>
  <c r="C505"/>
  <c r="F505"/>
  <c r="F514"/>
  <c r="D521"/>
  <c r="E521"/>
  <c r="E520"/>
  <c r="G521"/>
  <c r="H521"/>
  <c r="H520"/>
  <c r="C522"/>
  <c r="F522"/>
  <c r="C523"/>
  <c r="F523"/>
  <c r="C524"/>
  <c r="F524"/>
  <c r="C525"/>
  <c r="F525"/>
  <c r="C526"/>
  <c r="F526"/>
  <c r="C527"/>
  <c r="F527"/>
  <c r="C528"/>
  <c r="F528"/>
  <c r="C529"/>
  <c r="F529"/>
  <c r="C530"/>
  <c r="F530"/>
  <c r="C532"/>
  <c r="F532"/>
  <c r="C533"/>
  <c r="F533"/>
  <c r="C534"/>
  <c r="F534"/>
  <c r="C535"/>
  <c r="F535"/>
  <c r="C536"/>
  <c r="F536"/>
  <c r="C537"/>
  <c r="F537"/>
  <c r="C539"/>
  <c r="F539"/>
  <c r="C541"/>
  <c r="F541"/>
  <c r="C543"/>
  <c r="F543"/>
  <c r="C544"/>
  <c r="F544"/>
  <c r="D545"/>
  <c r="C545"/>
  <c r="G545"/>
  <c r="C546"/>
  <c r="F546"/>
  <c r="C548"/>
  <c r="F548"/>
  <c r="C549"/>
  <c r="F549"/>
  <c r="D556"/>
  <c r="E556"/>
  <c r="G556"/>
  <c r="H556"/>
  <c r="C557"/>
  <c r="F557"/>
  <c r="C558"/>
  <c r="F558"/>
  <c r="C559"/>
  <c r="F559"/>
  <c r="D560"/>
  <c r="C560"/>
  <c r="E560"/>
  <c r="G560"/>
  <c r="H560"/>
  <c r="C561"/>
  <c r="F561"/>
  <c r="C562"/>
  <c r="F562"/>
  <c r="C563"/>
  <c r="F563"/>
  <c r="C564"/>
  <c r="F564"/>
  <c r="C565"/>
  <c r="F565"/>
  <c r="C566"/>
  <c r="F566"/>
  <c r="C567"/>
  <c r="F567"/>
  <c r="C568"/>
  <c r="F568"/>
  <c r="C569"/>
  <c r="F569"/>
  <c r="C570"/>
  <c r="F570"/>
  <c r="C571"/>
  <c r="F571"/>
  <c r="C572"/>
  <c r="F572"/>
  <c r="C573"/>
  <c r="F573"/>
  <c r="C574"/>
  <c r="F574"/>
  <c r="C575"/>
  <c r="F575"/>
  <c r="C576"/>
  <c r="F576"/>
  <c r="C577"/>
  <c r="F577"/>
  <c r="C578"/>
  <c r="F578"/>
  <c r="C579"/>
  <c r="F579"/>
  <c r="C580"/>
  <c r="F580"/>
  <c r="D581"/>
  <c r="C581"/>
  <c r="E581"/>
  <c r="G581"/>
  <c r="H581"/>
  <c r="C582"/>
  <c r="F582"/>
  <c r="C583"/>
  <c r="F583"/>
  <c r="C584"/>
  <c r="F584"/>
  <c r="C585"/>
  <c r="F585"/>
  <c r="C586"/>
  <c r="F586"/>
  <c r="C587"/>
  <c r="F587"/>
  <c r="C588"/>
  <c r="F588"/>
  <c r="C589"/>
  <c r="F589"/>
  <c r="C590"/>
  <c r="F590"/>
  <c r="C591"/>
  <c r="F591"/>
  <c r="C592"/>
  <c r="F592"/>
  <c r="C593"/>
  <c r="F593"/>
  <c r="C594"/>
  <c r="F594"/>
  <c r="C595"/>
  <c r="F595"/>
  <c r="C596"/>
  <c r="F596"/>
  <c r="C597"/>
  <c r="F597"/>
  <c r="C598"/>
  <c r="F598"/>
  <c r="C599"/>
  <c r="F599"/>
  <c r="C600"/>
  <c r="F600"/>
  <c r="D601"/>
  <c r="C601"/>
  <c r="E601"/>
  <c r="G601"/>
  <c r="H601"/>
  <c r="C602"/>
  <c r="F602"/>
  <c r="C603"/>
  <c r="F603"/>
  <c r="D604"/>
  <c r="C604"/>
  <c r="E604"/>
  <c r="G604"/>
  <c r="F604"/>
  <c r="H604"/>
  <c r="C605"/>
  <c r="F605"/>
  <c r="E606"/>
  <c r="H606"/>
  <c r="C607"/>
  <c r="F607"/>
  <c r="C608"/>
  <c r="F608"/>
  <c r="D610"/>
  <c r="E610"/>
  <c r="G610"/>
  <c r="H610"/>
  <c r="C611"/>
  <c r="F611"/>
  <c r="C612"/>
  <c r="E613"/>
  <c r="H613"/>
  <c r="C615"/>
  <c r="F615"/>
  <c r="D617"/>
  <c r="E617"/>
  <c r="G617"/>
  <c r="H617"/>
  <c r="C618"/>
  <c r="F618"/>
  <c r="C619"/>
  <c r="F619"/>
  <c r="C620"/>
  <c r="F620"/>
  <c r="C621"/>
  <c r="F621"/>
  <c r="C622"/>
  <c r="F622"/>
  <c r="D623"/>
  <c r="E623"/>
  <c r="C623"/>
  <c r="G623"/>
  <c r="H623"/>
  <c r="F623"/>
  <c r="C624"/>
  <c r="F624"/>
  <c r="D625"/>
  <c r="C625"/>
  <c r="G625"/>
  <c r="F625"/>
  <c r="C626"/>
  <c r="F626"/>
  <c r="C627"/>
  <c r="F627"/>
  <c r="C628"/>
  <c r="F628"/>
  <c r="C629"/>
  <c r="F629"/>
  <c r="D630"/>
  <c r="C630"/>
  <c r="G630"/>
  <c r="F630"/>
  <c r="C631"/>
  <c r="F631"/>
  <c r="D633"/>
  <c r="E633"/>
  <c r="G633"/>
  <c r="H633"/>
  <c r="F633"/>
  <c r="C634"/>
  <c r="F634"/>
  <c r="C635"/>
  <c r="F635"/>
  <c r="C636"/>
  <c r="F636"/>
  <c r="C637"/>
  <c r="F637"/>
  <c r="C638"/>
  <c r="F638"/>
  <c r="C639"/>
  <c r="F639"/>
  <c r="C640"/>
  <c r="F640"/>
  <c r="C641"/>
  <c r="F641"/>
  <c r="C642"/>
  <c r="F642"/>
  <c r="C643"/>
  <c r="F643"/>
  <c r="C644"/>
  <c r="F644"/>
  <c r="C645"/>
  <c r="F645"/>
  <c r="C646"/>
  <c r="F646"/>
  <c r="C647"/>
  <c r="F647"/>
  <c r="C648"/>
  <c r="F648"/>
  <c r="C649"/>
  <c r="F649"/>
  <c r="C650"/>
  <c r="F650"/>
  <c r="C651"/>
  <c r="F651"/>
  <c r="C652"/>
  <c r="F652"/>
  <c r="D653"/>
  <c r="E653"/>
  <c r="G653"/>
  <c r="H653"/>
  <c r="C654"/>
  <c r="F654"/>
  <c r="C655"/>
  <c r="F655"/>
  <c r="C656"/>
  <c r="F656"/>
  <c r="C657"/>
  <c r="F657"/>
  <c r="C658"/>
  <c r="F658"/>
  <c r="C659"/>
  <c r="F659"/>
  <c r="C660"/>
  <c r="F660"/>
  <c r="C661"/>
  <c r="F661"/>
  <c r="C662"/>
  <c r="F662"/>
  <c r="C663"/>
  <c r="F663"/>
  <c r="C664"/>
  <c r="F664"/>
  <c r="C665"/>
  <c r="F665"/>
  <c r="C666"/>
  <c r="F666"/>
  <c r="C667"/>
  <c r="F667"/>
  <c r="C668"/>
  <c r="F668"/>
  <c r="C669"/>
  <c r="F669"/>
  <c r="C670"/>
  <c r="F670"/>
  <c r="C671"/>
  <c r="F671"/>
  <c r="C672"/>
  <c r="F672"/>
  <c r="C673"/>
  <c r="F673"/>
  <c r="C674"/>
  <c r="F675"/>
  <c r="C691"/>
  <c r="F691"/>
  <c r="C692"/>
  <c r="C693"/>
  <c r="F693"/>
  <c r="D697"/>
  <c r="G697"/>
  <c r="H697"/>
  <c r="C698"/>
  <c r="F698"/>
  <c r="C699"/>
  <c r="F699"/>
  <c r="C700"/>
  <c r="F700"/>
  <c r="C701"/>
  <c r="F701"/>
  <c r="C702"/>
  <c r="F702"/>
  <c r="C703"/>
  <c r="F703"/>
  <c r="C704"/>
  <c r="F704"/>
  <c r="C705"/>
  <c r="F705"/>
  <c r="C706"/>
  <c r="F706"/>
  <c r="C707"/>
  <c r="F707"/>
  <c r="C708"/>
  <c r="F708"/>
  <c r="C709"/>
  <c r="F709"/>
  <c r="C710"/>
  <c r="F710"/>
  <c r="C711"/>
  <c r="F711"/>
  <c r="C712"/>
  <c r="F712"/>
  <c r="C713"/>
  <c r="F713"/>
  <c r="C714"/>
  <c r="F714"/>
  <c r="C715"/>
  <c r="F715"/>
  <c r="C716"/>
  <c r="F716"/>
  <c r="D717"/>
  <c r="E717"/>
  <c r="G717"/>
  <c r="F717"/>
  <c r="C718"/>
  <c r="F718"/>
  <c r="C719"/>
  <c r="F719"/>
  <c r="C720"/>
  <c r="F720"/>
  <c r="C721"/>
  <c r="F721"/>
  <c r="C722"/>
  <c r="F722"/>
  <c r="C723"/>
  <c r="F723"/>
  <c r="C724"/>
  <c r="F724"/>
  <c r="C725"/>
  <c r="F725"/>
  <c r="C726"/>
  <c r="F726"/>
  <c r="C727"/>
  <c r="F727"/>
  <c r="C728"/>
  <c r="F728"/>
  <c r="C729"/>
  <c r="F729"/>
  <c r="C730"/>
  <c r="F730"/>
  <c r="C731"/>
  <c r="F731"/>
  <c r="C732"/>
  <c r="F732"/>
  <c r="C733"/>
  <c r="F733"/>
  <c r="C734"/>
  <c r="F734"/>
  <c r="C735"/>
  <c r="F735"/>
  <c r="D736"/>
  <c r="E736"/>
  <c r="G736"/>
  <c r="H736"/>
  <c r="C737"/>
  <c r="F737"/>
  <c r="C738"/>
  <c r="F738"/>
  <c r="C739"/>
  <c r="F739"/>
  <c r="C740"/>
  <c r="F740"/>
  <c r="C741"/>
  <c r="F741"/>
  <c r="C742"/>
  <c r="F742"/>
  <c r="C743"/>
  <c r="F743"/>
  <c r="C744"/>
  <c r="F744"/>
  <c r="C745"/>
  <c r="F745"/>
  <c r="C746"/>
  <c r="F746"/>
  <c r="C747"/>
  <c r="F747"/>
  <c r="C748"/>
  <c r="F748"/>
  <c r="C749"/>
  <c r="F749"/>
  <c r="C750"/>
  <c r="F750"/>
  <c r="C751"/>
  <c r="F751"/>
  <c r="C752"/>
  <c r="F752"/>
  <c r="C753"/>
  <c r="F753"/>
  <c r="C754"/>
  <c r="F754"/>
  <c r="D755"/>
  <c r="E755"/>
  <c r="G755"/>
  <c r="H755"/>
  <c r="C756"/>
  <c r="F756"/>
  <c r="D757"/>
  <c r="E757"/>
  <c r="G757"/>
  <c r="H757"/>
  <c r="C758"/>
  <c r="F758"/>
  <c r="C759"/>
  <c r="F759"/>
  <c r="C760"/>
  <c r="F760"/>
  <c r="D764"/>
  <c r="E764"/>
  <c r="G764"/>
  <c r="H764"/>
  <c r="C765"/>
  <c r="F765"/>
  <c r="C766"/>
  <c r="F766"/>
  <c r="D767"/>
  <c r="E767"/>
  <c r="G767"/>
  <c r="H767"/>
  <c r="C768"/>
  <c r="F768"/>
  <c r="C769"/>
  <c r="F769"/>
  <c r="C770"/>
  <c r="F770"/>
  <c r="D777"/>
  <c r="E777"/>
  <c r="G777"/>
  <c r="H777"/>
  <c r="C778"/>
  <c r="F778"/>
  <c r="C779"/>
  <c r="F779"/>
  <c r="C780"/>
  <c r="F780"/>
  <c r="C781"/>
  <c r="F781"/>
  <c r="C782"/>
  <c r="F782"/>
  <c r="C783"/>
  <c r="F783"/>
  <c r="C784"/>
  <c r="F784"/>
  <c r="C785"/>
  <c r="F785"/>
  <c r="C786"/>
  <c r="F786"/>
  <c r="C787"/>
  <c r="F787"/>
  <c r="C788"/>
  <c r="F788"/>
  <c r="C789"/>
  <c r="F789"/>
  <c r="C790"/>
  <c r="F790"/>
  <c r="C791"/>
  <c r="F791"/>
  <c r="C793"/>
  <c r="F793"/>
  <c r="C794"/>
  <c r="F794"/>
  <c r="C795"/>
  <c r="F795"/>
  <c r="D799"/>
  <c r="E799"/>
  <c r="G799"/>
  <c r="H799"/>
  <c r="C800"/>
  <c r="F800"/>
  <c r="C801"/>
  <c r="F801"/>
  <c r="C802"/>
  <c r="F802"/>
  <c r="D806"/>
  <c r="E806"/>
  <c r="G806"/>
  <c r="H806"/>
  <c r="D807"/>
  <c r="E807"/>
  <c r="G807"/>
  <c r="H807"/>
  <c r="D808"/>
  <c r="E808"/>
  <c r="G808"/>
  <c r="H808"/>
  <c r="D809"/>
  <c r="E809"/>
  <c r="G809"/>
  <c r="H809"/>
  <c r="D810"/>
  <c r="E810"/>
  <c r="G810"/>
  <c r="H810"/>
  <c r="D811"/>
  <c r="E811"/>
  <c r="G811"/>
  <c r="H811"/>
  <c r="D812"/>
  <c r="E812"/>
  <c r="G812"/>
  <c r="H812"/>
  <c r="C813"/>
  <c r="D814"/>
  <c r="E814"/>
  <c r="G814"/>
  <c r="H814"/>
  <c r="D815"/>
  <c r="E815"/>
  <c r="G815"/>
  <c r="H815"/>
  <c r="D816"/>
  <c r="E816"/>
  <c r="G816"/>
  <c r="H816"/>
  <c r="D817"/>
  <c r="E817"/>
  <c r="C817"/>
  <c r="G817"/>
  <c r="H817"/>
  <c r="F817"/>
  <c r="E818"/>
  <c r="H818"/>
  <c r="E819"/>
  <c r="H819"/>
  <c r="D820"/>
  <c r="E820"/>
  <c r="G820"/>
  <c r="H820"/>
  <c r="C821"/>
  <c r="F821"/>
  <c r="C822"/>
  <c r="F822"/>
  <c r="D824"/>
  <c r="G824"/>
  <c r="H824"/>
  <c r="C825"/>
  <c r="F825"/>
  <c r="C826"/>
  <c r="F826"/>
  <c r="C827"/>
  <c r="F827"/>
  <c r="C828"/>
  <c r="F828"/>
  <c r="C829"/>
  <c r="F829"/>
  <c r="C830"/>
  <c r="F830"/>
  <c r="C831"/>
  <c r="F831"/>
  <c r="C832"/>
  <c r="F832"/>
  <c r="C833"/>
  <c r="F833"/>
  <c r="C834"/>
  <c r="F834"/>
  <c r="C835"/>
  <c r="F835"/>
  <c r="D836"/>
  <c r="G836"/>
  <c r="H836"/>
  <c r="F837"/>
  <c r="C838"/>
  <c r="C837"/>
  <c r="C836"/>
  <c r="F838"/>
  <c r="D839"/>
  <c r="E839"/>
  <c r="G839"/>
  <c r="H839"/>
  <c r="C840"/>
  <c r="F840"/>
  <c r="D842"/>
  <c r="E842"/>
  <c r="G842"/>
  <c r="H842"/>
  <c r="C843"/>
  <c r="F843"/>
  <c r="C844"/>
  <c r="F844"/>
  <c r="C845"/>
  <c r="F845"/>
  <c r="C846"/>
  <c r="F846"/>
  <c r="C847"/>
  <c r="F847"/>
  <c r="C848"/>
  <c r="F848"/>
  <c r="C849"/>
  <c r="F849"/>
  <c r="C850"/>
  <c r="F850"/>
  <c r="C851"/>
  <c r="F851"/>
  <c r="C852"/>
  <c r="F852"/>
  <c r="C853"/>
  <c r="F853"/>
  <c r="C854"/>
  <c r="F854"/>
  <c r="C855"/>
  <c r="F855"/>
  <c r="C856"/>
  <c r="F856"/>
  <c r="C857"/>
  <c r="F857"/>
  <c r="D858"/>
  <c r="E858"/>
  <c r="G858"/>
  <c r="G841"/>
  <c r="H858"/>
  <c r="C859"/>
  <c r="F859"/>
  <c r="C860"/>
  <c r="F860"/>
  <c r="C861"/>
  <c r="F861"/>
  <c r="D864"/>
  <c r="D863"/>
  <c r="G864"/>
  <c r="H863"/>
  <c r="C865"/>
  <c r="F865"/>
  <c r="C866"/>
  <c r="F866"/>
  <c r="C867"/>
  <c r="F867"/>
  <c r="C868"/>
  <c r="F868"/>
  <c r="C869"/>
  <c r="F869"/>
  <c r="C870"/>
  <c r="F870"/>
  <c r="C871"/>
  <c r="F871"/>
  <c r="C876"/>
  <c r="F876"/>
  <c r="C877"/>
  <c r="F877"/>
  <c r="C878"/>
  <c r="F878"/>
  <c r="C879"/>
  <c r="F879"/>
  <c r="C880"/>
  <c r="F880"/>
  <c r="C881"/>
  <c r="F881"/>
  <c r="C882"/>
  <c r="F882"/>
  <c r="D883"/>
  <c r="E883"/>
  <c r="G883"/>
  <c r="H883"/>
  <c r="C884"/>
  <c r="F884"/>
  <c r="D885"/>
  <c r="D891"/>
  <c r="E885"/>
  <c r="E891"/>
  <c r="G891"/>
  <c r="D900"/>
  <c r="E621" i="27448" s="1"/>
  <c r="E900" i="27446"/>
  <c r="G900"/>
  <c r="H621" i="27448" s="1"/>
  <c r="H900" i="27446"/>
  <c r="D901"/>
  <c r="E622" i="27448" s="1"/>
  <c r="G901" i="27446"/>
  <c r="H901"/>
  <c r="I622" i="27448" s="1"/>
  <c r="D902" i="27446"/>
  <c r="E902"/>
  <c r="F623" i="27448" s="1"/>
  <c r="G902" i="27446"/>
  <c r="H623" i="27448" s="1"/>
  <c r="H902" i="27446"/>
  <c r="I623" i="27448" s="1"/>
  <c r="D903" i="27446"/>
  <c r="E624" i="27448" s="1"/>
  <c r="G903" i="27446"/>
  <c r="H624" i="27448" s="1"/>
  <c r="D904" i="27446"/>
  <c r="E625" i="27448" s="1"/>
  <c r="E904" i="27446"/>
  <c r="F625" i="27448" s="1"/>
  <c r="G904" i="27446"/>
  <c r="H904"/>
  <c r="I625" i="27448" s="1"/>
  <c r="D905" i="27446"/>
  <c r="E626" i="27448" s="1"/>
  <c r="G905" i="27446"/>
  <c r="H626" i="27448" s="1"/>
  <c r="E907" i="27446"/>
  <c r="F628" i="27448" s="1"/>
  <c r="H907" i="27446"/>
  <c r="I628" i="27448" s="1"/>
  <c r="D908" i="27446"/>
  <c r="E629" i="27448" s="1"/>
  <c r="G908" i="27446"/>
  <c r="H629" i="27448" s="1"/>
  <c r="E909" i="27446"/>
  <c r="F630" i="27448" s="1"/>
  <c r="H909" i="27446"/>
  <c r="I630" i="27448" s="1"/>
  <c r="D910" i="27446"/>
  <c r="E631" i="27448" s="1"/>
  <c r="G910" i="27446"/>
  <c r="H631" i="27448" s="1"/>
  <c r="G913" i="27446"/>
  <c r="G914"/>
  <c r="G12" i="27454"/>
  <c r="G14"/>
  <c r="G15"/>
  <c r="G16"/>
  <c r="G17"/>
  <c r="G19"/>
  <c r="G20"/>
  <c r="G21"/>
  <c r="G23"/>
  <c r="G24"/>
  <c r="G27"/>
  <c r="G28"/>
  <c r="G29"/>
  <c r="G31"/>
  <c r="G32"/>
  <c r="G35"/>
  <c r="G36"/>
  <c r="G37"/>
  <c r="G40"/>
  <c r="G41"/>
  <c r="G42"/>
  <c r="G44"/>
  <c r="G45"/>
  <c r="G46"/>
  <c r="D16" i="27453"/>
  <c r="E16"/>
  <c r="F48"/>
  <c r="E78"/>
  <c r="E77" s="1"/>
  <c r="E71" s="1"/>
  <c r="K8" i="27452"/>
  <c r="F11"/>
  <c r="J11"/>
  <c r="F12"/>
  <c r="M13"/>
  <c r="M23" s="1"/>
  <c r="H17"/>
  <c r="K20"/>
  <c r="K21"/>
  <c r="O40"/>
  <c r="M62"/>
  <c r="O62" s="1"/>
  <c r="H66"/>
  <c r="K69"/>
  <c r="I71"/>
  <c r="K71"/>
  <c r="O90"/>
  <c r="W4" i="27451"/>
  <c r="G14" i="27441" s="1"/>
  <c r="X4" i="27451"/>
  <c r="W5"/>
  <c r="G16" i="27441" s="1"/>
  <c r="X5" i="27451"/>
  <c r="M16" i="27441" s="1"/>
  <c r="W6" i="27451"/>
  <c r="G17" i="27441" s="1"/>
  <c r="X6" i="27451"/>
  <c r="M17" i="27441" s="1"/>
  <c r="W7" i="27451"/>
  <c r="G18" i="27441" s="1"/>
  <c r="W8" i="27451"/>
  <c r="X8"/>
  <c r="W9"/>
  <c r="W10"/>
  <c r="X10"/>
  <c r="W11"/>
  <c r="W12"/>
  <c r="G24" i="27441" s="1"/>
  <c r="E24" s="1"/>
  <c r="X12" i="27451"/>
  <c r="M24" i="27441" s="1"/>
  <c r="K24" s="1"/>
  <c r="W13" i="27451"/>
  <c r="G26" i="27441" s="1"/>
  <c r="E26" s="1"/>
  <c r="X13" i="27451"/>
  <c r="M26" i="27441" s="1"/>
  <c r="K26" s="1"/>
  <c r="W14" i="27451"/>
  <c r="G27" i="27441" s="1"/>
  <c r="E27" s="1"/>
  <c r="X14" i="27451"/>
  <c r="M27" i="27441" s="1"/>
  <c r="K27" s="1"/>
  <c r="W16" i="27451"/>
  <c r="G29" i="27441" s="1"/>
  <c r="E29" s="1"/>
  <c r="X16" i="27451"/>
  <c r="M29" i="27441" s="1"/>
  <c r="K29" s="1"/>
  <c r="W17" i="27451"/>
  <c r="G31" i="27441" s="1"/>
  <c r="E31" s="1"/>
  <c r="X17" i="27451"/>
  <c r="M31" i="27441" s="1"/>
  <c r="K31" s="1"/>
  <c r="W18" i="27451"/>
  <c r="G32" i="27441" s="1"/>
  <c r="E32" s="1"/>
  <c r="X18" i="27451"/>
  <c r="W19"/>
  <c r="G33" i="27441" s="1"/>
  <c r="E33" s="1"/>
  <c r="X19" i="27451"/>
  <c r="M33" i="27441" s="1"/>
  <c r="K33" s="1"/>
  <c r="W20" i="27451"/>
  <c r="X20"/>
  <c r="M47" i="27441" s="1"/>
  <c r="K47" s="1"/>
  <c r="W21" i="27451"/>
  <c r="X21"/>
  <c r="W22"/>
  <c r="X22"/>
  <c r="W23"/>
  <c r="X23"/>
  <c r="M51" i="27441" s="1"/>
  <c r="K51" s="1"/>
  <c r="W24" i="27451"/>
  <c r="X24"/>
  <c r="W26"/>
  <c r="G56" i="27441" s="1"/>
  <c r="X26" i="27451"/>
  <c r="M56" i="27441" s="1"/>
  <c r="K56" s="1"/>
  <c r="W28" i="27451"/>
  <c r="G59" i="27441" s="1"/>
  <c r="X28" i="27451"/>
  <c r="M59" i="27441" s="1"/>
  <c r="W29" i="27451"/>
  <c r="G60" i="27441" s="1"/>
  <c r="X29" i="27451"/>
  <c r="M60" i="27441" s="1"/>
  <c r="W30" i="27451"/>
  <c r="G61" i="27441" s="1"/>
  <c r="X30" i="27451"/>
  <c r="M61" i="27441" s="1"/>
  <c r="K61" s="1"/>
  <c r="W31" i="27451"/>
  <c r="G63" i="27441" s="1"/>
  <c r="X31" i="27451"/>
  <c r="M63" i="27441" s="1"/>
  <c r="W32" i="27451"/>
  <c r="G64" i="27441" s="1"/>
  <c r="X32" i="27451"/>
  <c r="M64" i="27441" s="1"/>
  <c r="W33" i="27451"/>
  <c r="G65" i="27441" s="1"/>
  <c r="X33" i="27451"/>
  <c r="M65" i="27441" s="1"/>
  <c r="D113" i="27444"/>
  <c r="F113"/>
  <c r="H113"/>
  <c r="E39" i="27448"/>
  <c r="F39"/>
  <c r="H39"/>
  <c r="I39"/>
  <c r="F47"/>
  <c r="F52"/>
  <c r="D52" s="1"/>
  <c r="H59"/>
  <c r="I60"/>
  <c r="I71"/>
  <c r="G72"/>
  <c r="H72"/>
  <c r="E74"/>
  <c r="D74"/>
  <c r="F74"/>
  <c r="H74"/>
  <c r="I74"/>
  <c r="G74"/>
  <c r="E75"/>
  <c r="F75"/>
  <c r="D75" s="1"/>
  <c r="H75"/>
  <c r="I75"/>
  <c r="H76"/>
  <c r="E79"/>
  <c r="I80"/>
  <c r="F81"/>
  <c r="I81"/>
  <c r="F82"/>
  <c r="I82"/>
  <c r="H84"/>
  <c r="E86"/>
  <c r="F86"/>
  <c r="H86"/>
  <c r="I86"/>
  <c r="E87"/>
  <c r="F89"/>
  <c r="I89"/>
  <c r="E105"/>
  <c r="D105"/>
  <c r="F105"/>
  <c r="H105"/>
  <c r="I105"/>
  <c r="G105"/>
  <c r="E111"/>
  <c r="F111"/>
  <c r="H111"/>
  <c r="I111"/>
  <c r="E112"/>
  <c r="F112"/>
  <c r="H112"/>
  <c r="I112"/>
  <c r="E113"/>
  <c r="F113"/>
  <c r="H113"/>
  <c r="I113"/>
  <c r="E115"/>
  <c r="E114" s="1"/>
  <c r="D114" s="1"/>
  <c r="F115"/>
  <c r="F114" s="1"/>
  <c r="H115"/>
  <c r="I115"/>
  <c r="E117"/>
  <c r="F117"/>
  <c r="H117"/>
  <c r="I117"/>
  <c r="E118"/>
  <c r="F118"/>
  <c r="H118"/>
  <c r="I118"/>
  <c r="E119"/>
  <c r="F119"/>
  <c r="H119"/>
  <c r="I119"/>
  <c r="E120"/>
  <c r="F120"/>
  <c r="F99" s="1"/>
  <c r="H120"/>
  <c r="I120"/>
  <c r="I99" s="1"/>
  <c r="E121"/>
  <c r="F121"/>
  <c r="F100" s="1"/>
  <c r="H121"/>
  <c r="I121"/>
  <c r="I100" s="1"/>
  <c r="G100" s="1"/>
  <c r="E122"/>
  <c r="F122"/>
  <c r="F101" s="1"/>
  <c r="H122"/>
  <c r="I122"/>
  <c r="E123"/>
  <c r="F123"/>
  <c r="F102"/>
  <c r="H123"/>
  <c r="I123"/>
  <c r="I102" s="1"/>
  <c r="E124"/>
  <c r="F124"/>
  <c r="F103" s="1"/>
  <c r="H124"/>
  <c r="I124"/>
  <c r="I103" s="1"/>
  <c r="E125"/>
  <c r="F125"/>
  <c r="F104"/>
  <c r="H125"/>
  <c r="I125"/>
  <c r="I104" s="1"/>
  <c r="E126"/>
  <c r="E106" s="1"/>
  <c r="D106" s="1"/>
  <c r="F126"/>
  <c r="H126"/>
  <c r="H106" s="1"/>
  <c r="I126"/>
  <c r="I106" s="1"/>
  <c r="E127"/>
  <c r="F127"/>
  <c r="H127"/>
  <c r="I127"/>
  <c r="I144"/>
  <c r="E128"/>
  <c r="F128"/>
  <c r="F108" s="1"/>
  <c r="H128"/>
  <c r="I128"/>
  <c r="I108" s="1"/>
  <c r="G108" s="1"/>
  <c r="E129"/>
  <c r="F129"/>
  <c r="H129"/>
  <c r="I129"/>
  <c r="I109" s="1"/>
  <c r="E131"/>
  <c r="D131" s="1"/>
  <c r="H131"/>
  <c r="G131" s="1"/>
  <c r="E132"/>
  <c r="D132" s="1"/>
  <c r="H132"/>
  <c r="G132" s="1"/>
  <c r="E133"/>
  <c r="D133" s="1"/>
  <c r="H133"/>
  <c r="G133" s="1"/>
  <c r="E134"/>
  <c r="D134" s="1"/>
  <c r="H134"/>
  <c r="G134" s="1"/>
  <c r="E135"/>
  <c r="D135" s="1"/>
  <c r="H135"/>
  <c r="G135" s="1"/>
  <c r="E136"/>
  <c r="D136" s="1"/>
  <c r="H136"/>
  <c r="G136" s="1"/>
  <c r="E137"/>
  <c r="D137" s="1"/>
  <c r="H137"/>
  <c r="E138"/>
  <c r="D138" s="1"/>
  <c r="H138"/>
  <c r="G138" s="1"/>
  <c r="E139"/>
  <c r="D139" s="1"/>
  <c r="H139"/>
  <c r="G139" s="1"/>
  <c r="E140"/>
  <c r="D140" s="1"/>
  <c r="H140"/>
  <c r="G140" s="1"/>
  <c r="E141"/>
  <c r="D141" s="1"/>
  <c r="H141"/>
  <c r="G141" s="1"/>
  <c r="E142"/>
  <c r="D142" s="1"/>
  <c r="H142"/>
  <c r="G142" s="1"/>
  <c r="E144"/>
  <c r="F144"/>
  <c r="F143" s="1"/>
  <c r="H144"/>
  <c r="D145"/>
  <c r="G145"/>
  <c r="E147"/>
  <c r="E146"/>
  <c r="F147"/>
  <c r="F146"/>
  <c r="H147"/>
  <c r="I147"/>
  <c r="E149"/>
  <c r="H149"/>
  <c r="E150"/>
  <c r="H150"/>
  <c r="G150" s="1"/>
  <c r="E151"/>
  <c r="D151" s="1"/>
  <c r="H151"/>
  <c r="G151" s="1"/>
  <c r="E152"/>
  <c r="D152" s="1"/>
  <c r="H152"/>
  <c r="E153"/>
  <c r="D153"/>
  <c r="H153"/>
  <c r="E154"/>
  <c r="H154"/>
  <c r="E155"/>
  <c r="D155" s="1"/>
  <c r="H155"/>
  <c r="E156"/>
  <c r="D156" s="1"/>
  <c r="H156"/>
  <c r="E157"/>
  <c r="D157" s="1"/>
  <c r="H157"/>
  <c r="E158"/>
  <c r="D158"/>
  <c r="H158"/>
  <c r="G158"/>
  <c r="E159"/>
  <c r="D159"/>
  <c r="H159"/>
  <c r="G159"/>
  <c r="E160"/>
  <c r="D160"/>
  <c r="H160"/>
  <c r="G160"/>
  <c r="E162"/>
  <c r="D162" s="1"/>
  <c r="H162"/>
  <c r="G162" s="1"/>
  <c r="E163"/>
  <c r="D163" s="1"/>
  <c r="H163"/>
  <c r="G163" s="1"/>
  <c r="E164"/>
  <c r="D164" s="1"/>
  <c r="H164"/>
  <c r="G164" s="1"/>
  <c r="E165"/>
  <c r="D165" s="1"/>
  <c r="H165"/>
  <c r="G165" s="1"/>
  <c r="E166"/>
  <c r="D166" s="1"/>
  <c r="H166"/>
  <c r="G166" s="1"/>
  <c r="E167"/>
  <c r="D167" s="1"/>
  <c r="H167"/>
  <c r="G167" s="1"/>
  <c r="E168"/>
  <c r="D168" s="1"/>
  <c r="H168"/>
  <c r="G168" s="1"/>
  <c r="E169"/>
  <c r="D169" s="1"/>
  <c r="H169"/>
  <c r="E170"/>
  <c r="D170" s="1"/>
  <c r="H170"/>
  <c r="G170" s="1"/>
  <c r="E171"/>
  <c r="D171" s="1"/>
  <c r="H171"/>
  <c r="E172"/>
  <c r="D172"/>
  <c r="H172"/>
  <c r="G172"/>
  <c r="E173"/>
  <c r="D173"/>
  <c r="H173"/>
  <c r="G173"/>
  <c r="E174"/>
  <c r="H174"/>
  <c r="F175"/>
  <c r="D175"/>
  <c r="I175"/>
  <c r="G175"/>
  <c r="F176"/>
  <c r="D176"/>
  <c r="I176"/>
  <c r="G176"/>
  <c r="F177"/>
  <c r="D177"/>
  <c r="I177"/>
  <c r="G177"/>
  <c r="F178"/>
  <c r="D178"/>
  <c r="I178"/>
  <c r="G178"/>
  <c r="F179"/>
  <c r="D179"/>
  <c r="I179"/>
  <c r="G179"/>
  <c r="F180"/>
  <c r="D180"/>
  <c r="I180"/>
  <c r="G180"/>
  <c r="F181"/>
  <c r="D181"/>
  <c r="I181"/>
  <c r="G181"/>
  <c r="F182"/>
  <c r="D182"/>
  <c r="I182"/>
  <c r="G182"/>
  <c r="F183"/>
  <c r="D183"/>
  <c r="I183"/>
  <c r="G183"/>
  <c r="F184"/>
  <c r="D184"/>
  <c r="I184"/>
  <c r="G184"/>
  <c r="F185"/>
  <c r="D185"/>
  <c r="I185"/>
  <c r="G185"/>
  <c r="F186"/>
  <c r="D186"/>
  <c r="I186"/>
  <c r="G186"/>
  <c r="F188"/>
  <c r="I188"/>
  <c r="F189"/>
  <c r="I189"/>
  <c r="D190"/>
  <c r="E196"/>
  <c r="H196"/>
  <c r="G196"/>
  <c r="E197"/>
  <c r="D197"/>
  <c r="H197"/>
  <c r="H190"/>
  <c r="G190" s="1"/>
  <c r="E199"/>
  <c r="H199"/>
  <c r="E201"/>
  <c r="E200" s="1"/>
  <c r="F201"/>
  <c r="H201"/>
  <c r="H191"/>
  <c r="I201"/>
  <c r="I191"/>
  <c r="E202"/>
  <c r="D202"/>
  <c r="F202"/>
  <c r="H202"/>
  <c r="I202"/>
  <c r="E203"/>
  <c r="D203" s="1"/>
  <c r="F203"/>
  <c r="H203"/>
  <c r="G203" s="1"/>
  <c r="I203"/>
  <c r="E220"/>
  <c r="D220" s="1"/>
  <c r="H220"/>
  <c r="G220" s="1"/>
  <c r="E221"/>
  <c r="D221" s="1"/>
  <c r="H221"/>
  <c r="G221" s="1"/>
  <c r="E222"/>
  <c r="D222" s="1"/>
  <c r="H222"/>
  <c r="E223"/>
  <c r="H223"/>
  <c r="G223" s="1"/>
  <c r="E224"/>
  <c r="H224"/>
  <c r="G224" s="1"/>
  <c r="E225"/>
  <c r="H225"/>
  <c r="G225" s="1"/>
  <c r="E226"/>
  <c r="H226"/>
  <c r="G226"/>
  <c r="E227"/>
  <c r="H227"/>
  <c r="G227" s="1"/>
  <c r="E228"/>
  <c r="H228"/>
  <c r="G228" s="1"/>
  <c r="E229"/>
  <c r="H229"/>
  <c r="G229" s="1"/>
  <c r="E230"/>
  <c r="H230"/>
  <c r="H217"/>
  <c r="G217" s="1"/>
  <c r="E231"/>
  <c r="H231"/>
  <c r="G231" s="1"/>
  <c r="E233"/>
  <c r="H233"/>
  <c r="G233" s="1"/>
  <c r="E234"/>
  <c r="H234"/>
  <c r="F238"/>
  <c r="I238"/>
  <c r="F239"/>
  <c r="I239"/>
  <c r="E240"/>
  <c r="E238" s="1"/>
  <c r="D238" s="1"/>
  <c r="H240"/>
  <c r="E243"/>
  <c r="E242" s="1"/>
  <c r="F243"/>
  <c r="H243"/>
  <c r="I243"/>
  <c r="E245"/>
  <c r="E244" s="1"/>
  <c r="F245"/>
  <c r="F244" s="1"/>
  <c r="F241" s="1"/>
  <c r="H245"/>
  <c r="H244" s="1"/>
  <c r="I245"/>
  <c r="I244" s="1"/>
  <c r="I241" s="1"/>
  <c r="E247"/>
  <c r="E246" s="1"/>
  <c r="D246" s="1"/>
  <c r="F247"/>
  <c r="H247"/>
  <c r="I247"/>
  <c r="E248"/>
  <c r="F248"/>
  <c r="H248"/>
  <c r="I248"/>
  <c r="E251"/>
  <c r="E250" s="1"/>
  <c r="F251"/>
  <c r="F250" s="1"/>
  <c r="H251"/>
  <c r="I251"/>
  <c r="I250" s="1"/>
  <c r="E253"/>
  <c r="E252" s="1"/>
  <c r="F253"/>
  <c r="H253"/>
  <c r="H252" s="1"/>
  <c r="I253"/>
  <c r="E255"/>
  <c r="E254"/>
  <c r="F255"/>
  <c r="H255"/>
  <c r="H254" s="1"/>
  <c r="I255"/>
  <c r="I254" s="1"/>
  <c r="E257"/>
  <c r="E256" s="1"/>
  <c r="F257"/>
  <c r="H257"/>
  <c r="H256" s="1"/>
  <c r="I257"/>
  <c r="F259"/>
  <c r="I259"/>
  <c r="F260"/>
  <c r="I260"/>
  <c r="F261"/>
  <c r="I261"/>
  <c r="F262"/>
  <c r="I262"/>
  <c r="F263"/>
  <c r="I263"/>
  <c r="F264"/>
  <c r="I264"/>
  <c r="F265"/>
  <c r="I265"/>
  <c r="F266"/>
  <c r="I266"/>
  <c r="F267"/>
  <c r="I267"/>
  <c r="F268"/>
  <c r="I268"/>
  <c r="F269"/>
  <c r="I269"/>
  <c r="F270"/>
  <c r="I270"/>
  <c r="F271"/>
  <c r="I271"/>
  <c r="E272"/>
  <c r="D272" s="1"/>
  <c r="H272"/>
  <c r="E273"/>
  <c r="D273"/>
  <c r="H273"/>
  <c r="G273"/>
  <c r="E274"/>
  <c r="H274"/>
  <c r="E275"/>
  <c r="D275"/>
  <c r="H275"/>
  <c r="E276"/>
  <c r="D276" s="1"/>
  <c r="H276"/>
  <c r="G276" s="1"/>
  <c r="E277"/>
  <c r="D277" s="1"/>
  <c r="H277"/>
  <c r="E278"/>
  <c r="H278"/>
  <c r="G278" s="1"/>
  <c r="E279"/>
  <c r="D279" s="1"/>
  <c r="H279"/>
  <c r="G279" s="1"/>
  <c r="E280"/>
  <c r="H280"/>
  <c r="G280"/>
  <c r="E281"/>
  <c r="D281"/>
  <c r="H281"/>
  <c r="G281"/>
  <c r="E282"/>
  <c r="H282"/>
  <c r="G282" s="1"/>
  <c r="E283"/>
  <c r="D283" s="1"/>
  <c r="H283"/>
  <c r="G283" s="1"/>
  <c r="D284"/>
  <c r="G284"/>
  <c r="D285"/>
  <c r="G285"/>
  <c r="D286"/>
  <c r="G286"/>
  <c r="D287"/>
  <c r="G287"/>
  <c r="D288"/>
  <c r="G288"/>
  <c r="D289"/>
  <c r="G289"/>
  <c r="D290"/>
  <c r="G290"/>
  <c r="D291"/>
  <c r="G291"/>
  <c r="D292"/>
  <c r="G292"/>
  <c r="D293"/>
  <c r="G293"/>
  <c r="D294"/>
  <c r="G294"/>
  <c r="D295"/>
  <c r="G295"/>
  <c r="D296"/>
  <c r="G296"/>
  <c r="F297"/>
  <c r="I297"/>
  <c r="E298"/>
  <c r="H298"/>
  <c r="G298"/>
  <c r="E299"/>
  <c r="D299"/>
  <c r="H299"/>
  <c r="G299"/>
  <c r="E300"/>
  <c r="D300"/>
  <c r="H300"/>
  <c r="G300"/>
  <c r="E301"/>
  <c r="D301"/>
  <c r="H301"/>
  <c r="G301"/>
  <c r="E302"/>
  <c r="D302"/>
  <c r="H302"/>
  <c r="G302"/>
  <c r="E303"/>
  <c r="D303"/>
  <c r="H303"/>
  <c r="G303"/>
  <c r="E304"/>
  <c r="D304"/>
  <c r="H304"/>
  <c r="E305"/>
  <c r="D305" s="1"/>
  <c r="H305"/>
  <c r="E306"/>
  <c r="D306" s="1"/>
  <c r="H306"/>
  <c r="G306" s="1"/>
  <c r="E307"/>
  <c r="D307" s="1"/>
  <c r="H307"/>
  <c r="G307" s="1"/>
  <c r="E308"/>
  <c r="D308" s="1"/>
  <c r="H308"/>
  <c r="G308" s="1"/>
  <c r="E309"/>
  <c r="D309" s="1"/>
  <c r="H309"/>
  <c r="G309" s="1"/>
  <c r="F310"/>
  <c r="I310"/>
  <c r="E311"/>
  <c r="D311" s="1"/>
  <c r="H311"/>
  <c r="G311" s="1"/>
  <c r="E312"/>
  <c r="H312"/>
  <c r="G312"/>
  <c r="E313"/>
  <c r="D313"/>
  <c r="H313"/>
  <c r="G313"/>
  <c r="E314"/>
  <c r="D314"/>
  <c r="H314"/>
  <c r="G314"/>
  <c r="E315"/>
  <c r="D315"/>
  <c r="H315"/>
  <c r="G315"/>
  <c r="E316"/>
  <c r="D316"/>
  <c r="H316"/>
  <c r="G316"/>
  <c r="E317"/>
  <c r="D317"/>
  <c r="H317"/>
  <c r="G317"/>
  <c r="E318"/>
  <c r="D318"/>
  <c r="H318"/>
  <c r="G318"/>
  <c r="E319"/>
  <c r="D319"/>
  <c r="H319"/>
  <c r="G319"/>
  <c r="E320"/>
  <c r="D320"/>
  <c r="H320"/>
  <c r="G320"/>
  <c r="E321"/>
  <c r="D321"/>
  <c r="H321"/>
  <c r="G321"/>
  <c r="E322"/>
  <c r="D322"/>
  <c r="H322"/>
  <c r="G322"/>
  <c r="F323"/>
  <c r="I323"/>
  <c r="E324"/>
  <c r="D324"/>
  <c r="H324"/>
  <c r="G324"/>
  <c r="E325"/>
  <c r="D325"/>
  <c r="H325"/>
  <c r="G325"/>
  <c r="F326"/>
  <c r="I326"/>
  <c r="E327"/>
  <c r="H327"/>
  <c r="G327" s="1"/>
  <c r="E328"/>
  <c r="D328" s="1"/>
  <c r="H328"/>
  <c r="G328" s="1"/>
  <c r="F329"/>
  <c r="I329"/>
  <c r="E330"/>
  <c r="H330"/>
  <c r="G330" s="1"/>
  <c r="E331"/>
  <c r="D331" s="1"/>
  <c r="H331"/>
  <c r="G331" s="1"/>
  <c r="E332"/>
  <c r="D332" s="1"/>
  <c r="H332"/>
  <c r="G332" s="1"/>
  <c r="E333"/>
  <c r="D333" s="1"/>
  <c r="H333"/>
  <c r="G333" s="1"/>
  <c r="E334"/>
  <c r="D334" s="1"/>
  <c r="H334"/>
  <c r="G334" s="1"/>
  <c r="E335"/>
  <c r="D335" s="1"/>
  <c r="H335"/>
  <c r="G335" s="1"/>
  <c r="E336"/>
  <c r="D336" s="1"/>
  <c r="H336"/>
  <c r="G336" s="1"/>
  <c r="E337"/>
  <c r="D337" s="1"/>
  <c r="H337"/>
  <c r="G337" s="1"/>
  <c r="E338"/>
  <c r="D338" s="1"/>
  <c r="H338"/>
  <c r="G338" s="1"/>
  <c r="E339"/>
  <c r="D339" s="1"/>
  <c r="H339"/>
  <c r="G339" s="1"/>
  <c r="E340"/>
  <c r="D340" s="1"/>
  <c r="H340"/>
  <c r="G340" s="1"/>
  <c r="E341"/>
  <c r="D341" s="1"/>
  <c r="H341"/>
  <c r="G341" s="1"/>
  <c r="F342"/>
  <c r="I342"/>
  <c r="E343"/>
  <c r="D343" s="1"/>
  <c r="H343"/>
  <c r="G343" s="1"/>
  <c r="E344"/>
  <c r="D344" s="1"/>
  <c r="H344"/>
  <c r="G344" s="1"/>
  <c r="E345"/>
  <c r="D345" s="1"/>
  <c r="H345"/>
  <c r="G345" s="1"/>
  <c r="E346"/>
  <c r="D346" s="1"/>
  <c r="H346"/>
  <c r="G346" s="1"/>
  <c r="E347"/>
  <c r="D347" s="1"/>
  <c r="H347"/>
  <c r="G347" s="1"/>
  <c r="E348"/>
  <c r="D348" s="1"/>
  <c r="H348"/>
  <c r="G348" s="1"/>
  <c r="E349"/>
  <c r="D349" s="1"/>
  <c r="H349"/>
  <c r="G349" s="1"/>
  <c r="E350"/>
  <c r="D350" s="1"/>
  <c r="H350"/>
  <c r="G350" s="1"/>
  <c r="E351"/>
  <c r="D351" s="1"/>
  <c r="H351"/>
  <c r="G351" s="1"/>
  <c r="E352"/>
  <c r="D352" s="1"/>
  <c r="H352"/>
  <c r="G352" s="1"/>
  <c r="E353"/>
  <c r="D353" s="1"/>
  <c r="H353"/>
  <c r="E354"/>
  <c r="H354"/>
  <c r="G354" s="1"/>
  <c r="F355"/>
  <c r="I355"/>
  <c r="E356"/>
  <c r="H356"/>
  <c r="H355" s="1"/>
  <c r="G355" s="1"/>
  <c r="E357"/>
  <c r="D357" s="1"/>
  <c r="H357"/>
  <c r="E358"/>
  <c r="D358" s="1"/>
  <c r="H358"/>
  <c r="G358" s="1"/>
  <c r="F360"/>
  <c r="I360"/>
  <c r="F361"/>
  <c r="I361"/>
  <c r="F362"/>
  <c r="I362"/>
  <c r="F363"/>
  <c r="I363"/>
  <c r="F364"/>
  <c r="I364"/>
  <c r="F365"/>
  <c r="I365"/>
  <c r="F366"/>
  <c r="I366"/>
  <c r="F367"/>
  <c r="I367"/>
  <c r="F369"/>
  <c r="I369"/>
  <c r="F370"/>
  <c r="I370"/>
  <c r="F371"/>
  <c r="I371"/>
  <c r="F372"/>
  <c r="I372"/>
  <c r="F373"/>
  <c r="I373"/>
  <c r="E375"/>
  <c r="D375" s="1"/>
  <c r="H375"/>
  <c r="G375" s="1"/>
  <c r="E376"/>
  <c r="D376" s="1"/>
  <c r="H376"/>
  <c r="G376" s="1"/>
  <c r="E377"/>
  <c r="D377" s="1"/>
  <c r="H377"/>
  <c r="G377" s="1"/>
  <c r="E378"/>
  <c r="D378" s="1"/>
  <c r="H378"/>
  <c r="G378" s="1"/>
  <c r="E379"/>
  <c r="D379" s="1"/>
  <c r="H379"/>
  <c r="G379" s="1"/>
  <c r="E380"/>
  <c r="D380" s="1"/>
  <c r="H380"/>
  <c r="G380" s="1"/>
  <c r="E381"/>
  <c r="D381" s="1"/>
  <c r="H381"/>
  <c r="G381" s="1"/>
  <c r="E382"/>
  <c r="D382" s="1"/>
  <c r="H382"/>
  <c r="G382" s="1"/>
  <c r="E383"/>
  <c r="F383"/>
  <c r="H383"/>
  <c r="I383"/>
  <c r="I374" s="1"/>
  <c r="E384"/>
  <c r="D384" s="1"/>
  <c r="H384"/>
  <c r="E385"/>
  <c r="D385" s="1"/>
  <c r="H385"/>
  <c r="E386"/>
  <c r="D386"/>
  <c r="H386"/>
  <c r="E387"/>
  <c r="D387" s="1"/>
  <c r="H387"/>
  <c r="F388"/>
  <c r="I388"/>
  <c r="E389"/>
  <c r="D389" s="1"/>
  <c r="H389"/>
  <c r="G389" s="1"/>
  <c r="E390"/>
  <c r="H390"/>
  <c r="E391"/>
  <c r="D391" s="1"/>
  <c r="H391"/>
  <c r="E392"/>
  <c r="D392" s="1"/>
  <c r="H392"/>
  <c r="E393"/>
  <c r="D393" s="1"/>
  <c r="H393"/>
  <c r="E394"/>
  <c r="H394"/>
  <c r="E395"/>
  <c r="D395" s="1"/>
  <c r="H395"/>
  <c r="E396"/>
  <c r="D396" s="1"/>
  <c r="H396"/>
  <c r="E397"/>
  <c r="D397" s="1"/>
  <c r="H397"/>
  <c r="E398"/>
  <c r="D398" s="1"/>
  <c r="H398"/>
  <c r="G398" s="1"/>
  <c r="E399"/>
  <c r="H399"/>
  <c r="G399" s="1"/>
  <c r="E400"/>
  <c r="D400" s="1"/>
  <c r="H400"/>
  <c r="G400" s="1"/>
  <c r="E401"/>
  <c r="D401" s="1"/>
  <c r="H401"/>
  <c r="G401" s="1"/>
  <c r="F402"/>
  <c r="I402"/>
  <c r="E403"/>
  <c r="D403" s="1"/>
  <c r="H403"/>
  <c r="E404"/>
  <c r="D404" s="1"/>
  <c r="H404"/>
  <c r="G404" s="1"/>
  <c r="E405"/>
  <c r="H405"/>
  <c r="G405" s="1"/>
  <c r="E406"/>
  <c r="H406"/>
  <c r="G406"/>
  <c r="E407"/>
  <c r="H407"/>
  <c r="G407" s="1"/>
  <c r="E408"/>
  <c r="H408"/>
  <c r="G408" s="1"/>
  <c r="E409"/>
  <c r="D409" s="1"/>
  <c r="H409"/>
  <c r="G409" s="1"/>
  <c r="E410"/>
  <c r="D410" s="1"/>
  <c r="H410"/>
  <c r="G410" s="1"/>
  <c r="E411"/>
  <c r="D411" s="1"/>
  <c r="H411"/>
  <c r="E412"/>
  <c r="D412" s="1"/>
  <c r="H412"/>
  <c r="G412" s="1"/>
  <c r="E413"/>
  <c r="D413" s="1"/>
  <c r="H413"/>
  <c r="G413" s="1"/>
  <c r="E414"/>
  <c r="D414" s="1"/>
  <c r="H414"/>
  <c r="G414" s="1"/>
  <c r="E415"/>
  <c r="H415"/>
  <c r="G415" s="1"/>
  <c r="F416"/>
  <c r="I416"/>
  <c r="E417"/>
  <c r="D417" s="1"/>
  <c r="H417"/>
  <c r="E419"/>
  <c r="D419" s="1"/>
  <c r="H419"/>
  <c r="G419" s="1"/>
  <c r="E421"/>
  <c r="D421" s="1"/>
  <c r="H421"/>
  <c r="F422"/>
  <c r="I422"/>
  <c r="E423"/>
  <c r="D423"/>
  <c r="H423"/>
  <c r="E424"/>
  <c r="H424"/>
  <c r="G424"/>
  <c r="E425"/>
  <c r="H425"/>
  <c r="G425" s="1"/>
  <c r="E426"/>
  <c r="D426" s="1"/>
  <c r="H426"/>
  <c r="G426" s="1"/>
  <c r="E427"/>
  <c r="D427" s="1"/>
  <c r="H427"/>
  <c r="G427" s="1"/>
  <c r="E428"/>
  <c r="D428" s="1"/>
  <c r="H428"/>
  <c r="G428" s="1"/>
  <c r="E429"/>
  <c r="H429"/>
  <c r="G429" s="1"/>
  <c r="E430"/>
  <c r="H430"/>
  <c r="G430" s="1"/>
  <c r="E431"/>
  <c r="D431" s="1"/>
  <c r="H431"/>
  <c r="G431" s="1"/>
  <c r="E432"/>
  <c r="H432"/>
  <c r="G432"/>
  <c r="E433"/>
  <c r="D433"/>
  <c r="H433"/>
  <c r="G433"/>
  <c r="E434"/>
  <c r="D434"/>
  <c r="H434"/>
  <c r="G434"/>
  <c r="F435"/>
  <c r="I435"/>
  <c r="E436"/>
  <c r="D436"/>
  <c r="H436"/>
  <c r="E437"/>
  <c r="D437" s="1"/>
  <c r="H437"/>
  <c r="G437" s="1"/>
  <c r="E438"/>
  <c r="H438"/>
  <c r="G438"/>
  <c r="E439"/>
  <c r="D439"/>
  <c r="H439"/>
  <c r="G439"/>
  <c r="E440"/>
  <c r="D440"/>
  <c r="H440"/>
  <c r="G440"/>
  <c r="E441"/>
  <c r="D441"/>
  <c r="H441"/>
  <c r="G441"/>
  <c r="E442"/>
  <c r="D442"/>
  <c r="H442"/>
  <c r="G442"/>
  <c r="E443"/>
  <c r="D443"/>
  <c r="H443"/>
  <c r="G443"/>
  <c r="E444"/>
  <c r="D444"/>
  <c r="H444"/>
  <c r="G444"/>
  <c r="E445"/>
  <c r="D445"/>
  <c r="H445"/>
  <c r="G445"/>
  <c r="E446"/>
  <c r="D446"/>
  <c r="H446"/>
  <c r="G446"/>
  <c r="E447"/>
  <c r="D447"/>
  <c r="H447"/>
  <c r="G447"/>
  <c r="F448"/>
  <c r="I448"/>
  <c r="E449"/>
  <c r="D449"/>
  <c r="H449"/>
  <c r="H448"/>
  <c r="G448" s="1"/>
  <c r="E450"/>
  <c r="D450" s="1"/>
  <c r="H450"/>
  <c r="G450" s="1"/>
  <c r="F452"/>
  <c r="I452"/>
  <c r="I451"/>
  <c r="F453"/>
  <c r="I453"/>
  <c r="F454"/>
  <c r="I454"/>
  <c r="F455"/>
  <c r="F451"/>
  <c r="I455"/>
  <c r="F456"/>
  <c r="I456"/>
  <c r="F457"/>
  <c r="I457"/>
  <c r="F458"/>
  <c r="I458"/>
  <c r="F459"/>
  <c r="I459"/>
  <c r="F460"/>
  <c r="I460"/>
  <c r="F461"/>
  <c r="I461"/>
  <c r="F462"/>
  <c r="I462"/>
  <c r="F463"/>
  <c r="I463"/>
  <c r="F464"/>
  <c r="I464"/>
  <c r="F465"/>
  <c r="I465"/>
  <c r="E466"/>
  <c r="H466"/>
  <c r="E467"/>
  <c r="D467" s="1"/>
  <c r="H467"/>
  <c r="E468"/>
  <c r="D468"/>
  <c r="H468"/>
  <c r="G468"/>
  <c r="E469"/>
  <c r="D469"/>
  <c r="H469"/>
  <c r="E470"/>
  <c r="D470" s="1"/>
  <c r="H470"/>
  <c r="E471"/>
  <c r="D471" s="1"/>
  <c r="H471"/>
  <c r="E472"/>
  <c r="H472"/>
  <c r="E473"/>
  <c r="D473" s="1"/>
  <c r="H473"/>
  <c r="E474"/>
  <c r="D474"/>
  <c r="H474"/>
  <c r="G474"/>
  <c r="E475"/>
  <c r="D475"/>
  <c r="H475"/>
  <c r="G475"/>
  <c r="E476"/>
  <c r="D476"/>
  <c r="H476"/>
  <c r="G476"/>
  <c r="E477"/>
  <c r="D477"/>
  <c r="H477"/>
  <c r="F478"/>
  <c r="I478"/>
  <c r="E479"/>
  <c r="D479" s="1"/>
  <c r="H479"/>
  <c r="E480"/>
  <c r="D480" s="1"/>
  <c r="H480"/>
  <c r="G480" s="1"/>
  <c r="E481"/>
  <c r="D481" s="1"/>
  <c r="H481"/>
  <c r="G481" s="1"/>
  <c r="E482"/>
  <c r="D482" s="1"/>
  <c r="H482"/>
  <c r="G482" s="1"/>
  <c r="E483"/>
  <c r="D483" s="1"/>
  <c r="H483"/>
  <c r="G483" s="1"/>
  <c r="E484"/>
  <c r="D484" s="1"/>
  <c r="H484"/>
  <c r="G484" s="1"/>
  <c r="E485"/>
  <c r="D485" s="1"/>
  <c r="H485"/>
  <c r="G485" s="1"/>
  <c r="E486"/>
  <c r="D486" s="1"/>
  <c r="H486"/>
  <c r="G486" s="1"/>
  <c r="E487"/>
  <c r="D487" s="1"/>
  <c r="H487"/>
  <c r="G487" s="1"/>
  <c r="E488"/>
  <c r="D488" s="1"/>
  <c r="H488"/>
  <c r="G488" s="1"/>
  <c r="E489"/>
  <c r="D489" s="1"/>
  <c r="H489"/>
  <c r="G489" s="1"/>
  <c r="E490"/>
  <c r="D490" s="1"/>
  <c r="H490"/>
  <c r="G490" s="1"/>
  <c r="F491"/>
  <c r="I491"/>
  <c r="E492"/>
  <c r="D492" s="1"/>
  <c r="H492"/>
  <c r="G492"/>
  <c r="E493"/>
  <c r="D493"/>
  <c r="H493"/>
  <c r="G493"/>
  <c r="E494"/>
  <c r="D494"/>
  <c r="H494"/>
  <c r="G494"/>
  <c r="E495"/>
  <c r="D495"/>
  <c r="H495"/>
  <c r="G495"/>
  <c r="E496"/>
  <c r="D496"/>
  <c r="H496"/>
  <c r="G496"/>
  <c r="E497"/>
  <c r="D497"/>
  <c r="H497"/>
  <c r="G497"/>
  <c r="E498"/>
  <c r="D498"/>
  <c r="H498"/>
  <c r="G498"/>
  <c r="E499"/>
  <c r="D499"/>
  <c r="H499"/>
  <c r="G499"/>
  <c r="E500"/>
  <c r="D500"/>
  <c r="H500"/>
  <c r="G500"/>
  <c r="E501"/>
  <c r="D501"/>
  <c r="H501"/>
  <c r="G501"/>
  <c r="E502"/>
  <c r="D502"/>
  <c r="H502"/>
  <c r="G502"/>
  <c r="E503"/>
  <c r="D503"/>
  <c r="H503"/>
  <c r="G503"/>
  <c r="F504"/>
  <c r="I504"/>
  <c r="E505"/>
  <c r="D505"/>
  <c r="H505"/>
  <c r="G505"/>
  <c r="E506"/>
  <c r="D506"/>
  <c r="H506"/>
  <c r="G506"/>
  <c r="F507"/>
  <c r="I507"/>
  <c r="E508"/>
  <c r="D508"/>
  <c r="H508"/>
  <c r="G508"/>
  <c r="E509"/>
  <c r="H509"/>
  <c r="G509" s="1"/>
  <c r="E510"/>
  <c r="H510"/>
  <c r="G510" s="1"/>
  <c r="E511"/>
  <c r="D511" s="1"/>
  <c r="H511"/>
  <c r="G511" s="1"/>
  <c r="E512"/>
  <c r="H512"/>
  <c r="G512" s="1"/>
  <c r="E513"/>
  <c r="D513" s="1"/>
  <c r="H513"/>
  <c r="G513" s="1"/>
  <c r="E514"/>
  <c r="H514"/>
  <c r="G514"/>
  <c r="E515"/>
  <c r="H515"/>
  <c r="G515" s="1"/>
  <c r="E516"/>
  <c r="D516" s="1"/>
  <c r="H516"/>
  <c r="G516" s="1"/>
  <c r="E517"/>
  <c r="H517"/>
  <c r="G517" s="1"/>
  <c r="E518"/>
  <c r="H518"/>
  <c r="G518" s="1"/>
  <c r="E519"/>
  <c r="H519"/>
  <c r="G519"/>
  <c r="F520"/>
  <c r="I520"/>
  <c r="E521"/>
  <c r="D521"/>
  <c r="H521"/>
  <c r="E522"/>
  <c r="D522" s="1"/>
  <c r="H522"/>
  <c r="G522" s="1"/>
  <c r="E523"/>
  <c r="D523" s="1"/>
  <c r="H523"/>
  <c r="G523" s="1"/>
  <c r="E524"/>
  <c r="D524" s="1"/>
  <c r="H524"/>
  <c r="G524" s="1"/>
  <c r="E525"/>
  <c r="D525" s="1"/>
  <c r="H525"/>
  <c r="G525" s="1"/>
  <c r="E526"/>
  <c r="D526" s="1"/>
  <c r="H526"/>
  <c r="G526" s="1"/>
  <c r="E527"/>
  <c r="D527" s="1"/>
  <c r="H527"/>
  <c r="G527" s="1"/>
  <c r="E528"/>
  <c r="D528" s="1"/>
  <c r="H528"/>
  <c r="G528" s="1"/>
  <c r="E529"/>
  <c r="D529" s="1"/>
  <c r="H529"/>
  <c r="G529" s="1"/>
  <c r="E530"/>
  <c r="D530" s="1"/>
  <c r="H530"/>
  <c r="G530" s="1"/>
  <c r="E531"/>
  <c r="D531" s="1"/>
  <c r="H531"/>
  <c r="G531" s="1"/>
  <c r="E532"/>
  <c r="D532" s="1"/>
  <c r="H532"/>
  <c r="G532" s="1"/>
  <c r="F533"/>
  <c r="I533"/>
  <c r="E534"/>
  <c r="H534"/>
  <c r="E535"/>
  <c r="H535"/>
  <c r="G535"/>
  <c r="E537"/>
  <c r="E536"/>
  <c r="F537"/>
  <c r="H537"/>
  <c r="H536" s="1"/>
  <c r="I537"/>
  <c r="E538"/>
  <c r="D538" s="1"/>
  <c r="H538"/>
  <c r="G538" s="1"/>
  <c r="F539"/>
  <c r="I539"/>
  <c r="E540"/>
  <c r="D540" s="1"/>
  <c r="H540"/>
  <c r="H539" s="1"/>
  <c r="G539" s="1"/>
  <c r="E541"/>
  <c r="D541" s="1"/>
  <c r="H541"/>
  <c r="G541" s="1"/>
  <c r="E542"/>
  <c r="D542" s="1"/>
  <c r="H542"/>
  <c r="G542" s="1"/>
  <c r="E543"/>
  <c r="D543" s="1"/>
  <c r="H543"/>
  <c r="G543" s="1"/>
  <c r="E544"/>
  <c r="D544" s="1"/>
  <c r="H544"/>
  <c r="G544" s="1"/>
  <c r="E545"/>
  <c r="D545" s="1"/>
  <c r="H545"/>
  <c r="G545" s="1"/>
  <c r="E546"/>
  <c r="D546" s="1"/>
  <c r="H546"/>
  <c r="G546" s="1"/>
  <c r="E547"/>
  <c r="D547" s="1"/>
  <c r="H547"/>
  <c r="G547" s="1"/>
  <c r="E548"/>
  <c r="D548" s="1"/>
  <c r="H548"/>
  <c r="G548" s="1"/>
  <c r="E549"/>
  <c r="D549" s="1"/>
  <c r="H549"/>
  <c r="E550"/>
  <c r="D550" s="1"/>
  <c r="H550"/>
  <c r="G550" s="1"/>
  <c r="E551"/>
  <c r="D551" s="1"/>
  <c r="H551"/>
  <c r="G551" s="1"/>
  <c r="E552"/>
  <c r="D552" s="1"/>
  <c r="H552"/>
  <c r="G552" s="1"/>
  <c r="F553"/>
  <c r="I553"/>
  <c r="E554"/>
  <c r="D554" s="1"/>
  <c r="H554"/>
  <c r="H553" s="1"/>
  <c r="G553" s="1"/>
  <c r="F555"/>
  <c r="I555"/>
  <c r="E556"/>
  <c r="D556" s="1"/>
  <c r="H556"/>
  <c r="G556" s="1"/>
  <c r="E557"/>
  <c r="D557" s="1"/>
  <c r="H557"/>
  <c r="G557" s="1"/>
  <c r="E558"/>
  <c r="D558" s="1"/>
  <c r="H558"/>
  <c r="H555" s="1"/>
  <c r="G555" s="1"/>
  <c r="F560"/>
  <c r="I560"/>
  <c r="F561"/>
  <c r="I561"/>
  <c r="F562"/>
  <c r="I562"/>
  <c r="F563"/>
  <c r="I563"/>
  <c r="F564"/>
  <c r="I564"/>
  <c r="F565"/>
  <c r="I565"/>
  <c r="F566"/>
  <c r="I566"/>
  <c r="F567"/>
  <c r="I567"/>
  <c r="F568"/>
  <c r="I568"/>
  <c r="F569"/>
  <c r="I569"/>
  <c r="F570"/>
  <c r="I570"/>
  <c r="F571"/>
  <c r="I571"/>
  <c r="E572"/>
  <c r="D572" s="1"/>
  <c r="H572"/>
  <c r="G572" s="1"/>
  <c r="F573"/>
  <c r="I573"/>
  <c r="E574"/>
  <c r="D574" s="1"/>
  <c r="H574"/>
  <c r="E575"/>
  <c r="D575" s="1"/>
  <c r="H575"/>
  <c r="G575" s="1"/>
  <c r="F576"/>
  <c r="I576"/>
  <c r="E577"/>
  <c r="D577" s="1"/>
  <c r="H577"/>
  <c r="F578"/>
  <c r="I578"/>
  <c r="E579"/>
  <c r="D579"/>
  <c r="H579"/>
  <c r="F580"/>
  <c r="I580"/>
  <c r="I559"/>
  <c r="E581"/>
  <c r="H581"/>
  <c r="G581" s="1"/>
  <c r="E582"/>
  <c r="H582"/>
  <c r="H561" s="1"/>
  <c r="E583"/>
  <c r="H583"/>
  <c r="E584"/>
  <c r="D584" s="1"/>
  <c r="H584"/>
  <c r="H563" s="1"/>
  <c r="G563" s="1"/>
  <c r="E585"/>
  <c r="D585" s="1"/>
  <c r="H585"/>
  <c r="H564" s="1"/>
  <c r="G564" s="1"/>
  <c r="E586"/>
  <c r="E565" s="1"/>
  <c r="D565" s="1"/>
  <c r="H586"/>
  <c r="H565"/>
  <c r="G565" s="1"/>
  <c r="E587"/>
  <c r="E566" s="1"/>
  <c r="D566" s="1"/>
  <c r="H587"/>
  <c r="H566" s="1"/>
  <c r="G566" s="1"/>
  <c r="E588"/>
  <c r="D588" s="1"/>
  <c r="H588"/>
  <c r="H569" s="1"/>
  <c r="G569" s="1"/>
  <c r="E589"/>
  <c r="D589" s="1"/>
  <c r="H589"/>
  <c r="H570" s="1"/>
  <c r="G570" s="1"/>
  <c r="E590"/>
  <c r="F590"/>
  <c r="D590"/>
  <c r="H590"/>
  <c r="G590"/>
  <c r="I590"/>
  <c r="D591"/>
  <c r="G591"/>
  <c r="D592"/>
  <c r="G592"/>
  <c r="D593"/>
  <c r="G593"/>
  <c r="F596"/>
  <c r="I596"/>
  <c r="I603"/>
  <c r="E597"/>
  <c r="E595"/>
  <c r="E594" s="1"/>
  <c r="H597"/>
  <c r="H595" s="1"/>
  <c r="H594" s="1"/>
  <c r="F599"/>
  <c r="E89" s="1"/>
  <c r="D89" s="1"/>
  <c r="I599"/>
  <c r="I598" s="1"/>
  <c r="E603"/>
  <c r="H633"/>
  <c r="B4" i="27447"/>
  <c r="B41"/>
  <c r="C4"/>
  <c r="D4"/>
  <c r="D41"/>
  <c r="E4"/>
  <c r="F4"/>
  <c r="G4"/>
  <c r="H4"/>
  <c r="H41"/>
  <c r="I4"/>
  <c r="J4"/>
  <c r="K4"/>
  <c r="L5"/>
  <c r="M5"/>
  <c r="L6"/>
  <c r="M6"/>
  <c r="L7"/>
  <c r="M7"/>
  <c r="L8"/>
  <c r="M8"/>
  <c r="L9"/>
  <c r="M9"/>
  <c r="L14"/>
  <c r="M14"/>
  <c r="L15"/>
  <c r="M15"/>
  <c r="L16"/>
  <c r="M16"/>
  <c r="L17"/>
  <c r="M17"/>
  <c r="L18"/>
  <c r="M18"/>
  <c r="L19"/>
  <c r="M19"/>
  <c r="L20"/>
  <c r="M20"/>
  <c r="L21"/>
  <c r="M21"/>
  <c r="L22"/>
  <c r="M22"/>
  <c r="L23"/>
  <c r="M23"/>
  <c r="L24"/>
  <c r="M24"/>
  <c r="L25"/>
  <c r="M25"/>
  <c r="L27"/>
  <c r="M27"/>
  <c r="L28"/>
  <c r="M28"/>
  <c r="L29"/>
  <c r="M29"/>
  <c r="C26"/>
  <c r="C41"/>
  <c r="C228"/>
  <c r="E26"/>
  <c r="E41"/>
  <c r="G26"/>
  <c r="G41"/>
  <c r="K26"/>
  <c r="K41"/>
  <c r="K228"/>
  <c r="L31"/>
  <c r="M31"/>
  <c r="L32"/>
  <c r="M32"/>
  <c r="L33"/>
  <c r="M33"/>
  <c r="L34"/>
  <c r="M34"/>
  <c r="L35"/>
  <c r="M35"/>
  <c r="L36"/>
  <c r="M36"/>
  <c r="L37"/>
  <c r="M37"/>
  <c r="L38"/>
  <c r="M38"/>
  <c r="L39"/>
  <c r="M39"/>
  <c r="L40"/>
  <c r="M40"/>
  <c r="L43"/>
  <c r="M43"/>
  <c r="B45"/>
  <c r="C45"/>
  <c r="D45"/>
  <c r="E45"/>
  <c r="F45"/>
  <c r="G45"/>
  <c r="H45"/>
  <c r="I45"/>
  <c r="J45"/>
  <c r="K45"/>
  <c r="B46"/>
  <c r="C46"/>
  <c r="D46"/>
  <c r="E46"/>
  <c r="F46"/>
  <c r="G46"/>
  <c r="H46"/>
  <c r="I46"/>
  <c r="J46"/>
  <c r="K46"/>
  <c r="B47"/>
  <c r="C47"/>
  <c r="D47"/>
  <c r="E47"/>
  <c r="F47"/>
  <c r="G47"/>
  <c r="H47"/>
  <c r="I47"/>
  <c r="J47"/>
  <c r="K47"/>
  <c r="B48"/>
  <c r="C48"/>
  <c r="D48"/>
  <c r="E48"/>
  <c r="F48"/>
  <c r="G48"/>
  <c r="H48"/>
  <c r="I48"/>
  <c r="J48"/>
  <c r="K48"/>
  <c r="B49"/>
  <c r="C49"/>
  <c r="F49"/>
  <c r="G49"/>
  <c r="H49"/>
  <c r="I49"/>
  <c r="J49"/>
  <c r="K49"/>
  <c r="B50"/>
  <c r="C50"/>
  <c r="D50"/>
  <c r="E50"/>
  <c r="F50"/>
  <c r="G50"/>
  <c r="H50"/>
  <c r="I50"/>
  <c r="J50"/>
  <c r="K50"/>
  <c r="B51"/>
  <c r="C51"/>
  <c r="D51"/>
  <c r="E51"/>
  <c r="F51"/>
  <c r="G51"/>
  <c r="H51"/>
  <c r="I51"/>
  <c r="J51"/>
  <c r="K51"/>
  <c r="B52"/>
  <c r="C52"/>
  <c r="D52"/>
  <c r="E52"/>
  <c r="F52"/>
  <c r="G52"/>
  <c r="H52"/>
  <c r="I52"/>
  <c r="J52"/>
  <c r="K52"/>
  <c r="B53"/>
  <c r="C53"/>
  <c r="D53"/>
  <c r="E53"/>
  <c r="H53"/>
  <c r="I53"/>
  <c r="J53"/>
  <c r="K53"/>
  <c r="B54"/>
  <c r="F54"/>
  <c r="G54"/>
  <c r="H54"/>
  <c r="I54"/>
  <c r="J54"/>
  <c r="K54"/>
  <c r="B55"/>
  <c r="C55"/>
  <c r="D55"/>
  <c r="E55"/>
  <c r="F55"/>
  <c r="G55"/>
  <c r="H55"/>
  <c r="I55"/>
  <c r="J55"/>
  <c r="K55"/>
  <c r="K56"/>
  <c r="B61"/>
  <c r="C61"/>
  <c r="D61"/>
  <c r="E61"/>
  <c r="F61"/>
  <c r="G61"/>
  <c r="H61"/>
  <c r="I61"/>
  <c r="J61"/>
  <c r="K61"/>
  <c r="L61"/>
  <c r="M61"/>
  <c r="L62"/>
  <c r="M62"/>
  <c r="L63"/>
  <c r="M63"/>
  <c r="L64"/>
  <c r="M64"/>
  <c r="B65"/>
  <c r="C65"/>
  <c r="F65"/>
  <c r="G65"/>
  <c r="H65"/>
  <c r="I65"/>
  <c r="J65"/>
  <c r="K65"/>
  <c r="L65"/>
  <c r="M65"/>
  <c r="L67"/>
  <c r="M67"/>
  <c r="L68"/>
  <c r="M68"/>
  <c r="L69"/>
  <c r="M69"/>
  <c r="B70"/>
  <c r="C70"/>
  <c r="D70"/>
  <c r="E70"/>
  <c r="F70"/>
  <c r="G70"/>
  <c r="H70"/>
  <c r="I70"/>
  <c r="J70"/>
  <c r="K70"/>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1"/>
  <c r="M91"/>
  <c r="B92"/>
  <c r="C92"/>
  <c r="D92"/>
  <c r="E92"/>
  <c r="F92"/>
  <c r="G92"/>
  <c r="H92"/>
  <c r="I92"/>
  <c r="J92"/>
  <c r="K92"/>
  <c r="L92"/>
  <c r="M92"/>
  <c r="L93"/>
  <c r="M93"/>
  <c r="B94"/>
  <c r="C94"/>
  <c r="D94"/>
  <c r="E94"/>
  <c r="F94"/>
  <c r="G94"/>
  <c r="H94"/>
  <c r="I94"/>
  <c r="J94"/>
  <c r="K94"/>
  <c r="L94"/>
  <c r="M94"/>
  <c r="L95"/>
  <c r="M95"/>
  <c r="B98"/>
  <c r="C98"/>
  <c r="D98"/>
  <c r="E98"/>
  <c r="F98"/>
  <c r="G98"/>
  <c r="H98"/>
  <c r="I98"/>
  <c r="J98"/>
  <c r="K98"/>
  <c r="L98"/>
  <c r="M98"/>
  <c r="L99"/>
  <c r="M99"/>
  <c r="L100"/>
  <c r="M100"/>
  <c r="L101"/>
  <c r="M101"/>
  <c r="L103"/>
  <c r="M103"/>
  <c r="L105"/>
  <c r="M105"/>
  <c r="L106"/>
  <c r="M106"/>
  <c r="B107"/>
  <c r="C107"/>
  <c r="D107"/>
  <c r="E107"/>
  <c r="J107"/>
  <c r="K107"/>
  <c r="L107"/>
  <c r="M107"/>
  <c r="L109"/>
  <c r="M109"/>
  <c r="L110"/>
  <c r="M110"/>
  <c r="L111"/>
  <c r="M111"/>
  <c r="L112"/>
  <c r="M112"/>
  <c r="B113"/>
  <c r="C113"/>
  <c r="D113"/>
  <c r="E113"/>
  <c r="F113"/>
  <c r="G113"/>
  <c r="H113"/>
  <c r="I113"/>
  <c r="J113"/>
  <c r="K113"/>
  <c r="L113"/>
  <c r="M113"/>
  <c r="L114"/>
  <c r="M114"/>
  <c r="L115"/>
  <c r="M115"/>
  <c r="L116"/>
  <c r="M116"/>
  <c r="L117"/>
  <c r="M117"/>
  <c r="B118"/>
  <c r="C118"/>
  <c r="D118"/>
  <c r="E118"/>
  <c r="F118"/>
  <c r="G118"/>
  <c r="H118"/>
  <c r="I118"/>
  <c r="J118"/>
  <c r="K118"/>
  <c r="L118"/>
  <c r="M118"/>
  <c r="L119"/>
  <c r="M119"/>
  <c r="L120"/>
  <c r="M120"/>
  <c r="L121"/>
  <c r="M121"/>
  <c r="B122"/>
  <c r="C122"/>
  <c r="D122"/>
  <c r="E122"/>
  <c r="F122"/>
  <c r="G122"/>
  <c r="H122"/>
  <c r="I122"/>
  <c r="J122"/>
  <c r="K122"/>
  <c r="L122"/>
  <c r="M122"/>
  <c r="L123"/>
  <c r="M123"/>
  <c r="L124"/>
  <c r="M124"/>
  <c r="L129"/>
  <c r="M129"/>
  <c r="L130"/>
  <c r="M130"/>
  <c r="L131"/>
  <c r="M131"/>
  <c r="B132"/>
  <c r="C132"/>
  <c r="D132"/>
  <c r="E132"/>
  <c r="F132"/>
  <c r="G132"/>
  <c r="H132"/>
  <c r="I132"/>
  <c r="J132"/>
  <c r="K132"/>
  <c r="L132"/>
  <c r="M132"/>
  <c r="L133"/>
  <c r="M133"/>
  <c r="L134"/>
  <c r="M134"/>
  <c r="B135"/>
  <c r="C135"/>
  <c r="D135"/>
  <c r="E135"/>
  <c r="F135"/>
  <c r="G135"/>
  <c r="H135"/>
  <c r="I135"/>
  <c r="J135"/>
  <c r="K135"/>
  <c r="L135"/>
  <c r="M135"/>
  <c r="L136"/>
  <c r="M136"/>
  <c r="L137"/>
  <c r="M137"/>
  <c r="L138"/>
  <c r="M138"/>
  <c r="L139"/>
  <c r="M139"/>
  <c r="L140"/>
  <c r="M140"/>
  <c r="L141"/>
  <c r="M141"/>
  <c r="L142"/>
  <c r="M142"/>
  <c r="L143"/>
  <c r="M143"/>
  <c r="L144"/>
  <c r="M144"/>
  <c r="L145"/>
  <c r="M145"/>
  <c r="L146"/>
  <c r="M146"/>
  <c r="L147"/>
  <c r="M147"/>
  <c r="L148"/>
  <c r="M148"/>
  <c r="L149"/>
  <c r="M149"/>
  <c r="B150"/>
  <c r="C150"/>
  <c r="D150"/>
  <c r="E150"/>
  <c r="F150"/>
  <c r="G150"/>
  <c r="H150"/>
  <c r="I150"/>
  <c r="J150"/>
  <c r="K150"/>
  <c r="L150"/>
  <c r="M150"/>
  <c r="L151"/>
  <c r="M151"/>
  <c r="L152"/>
  <c r="M152"/>
  <c r="L153"/>
  <c r="M153"/>
  <c r="L154"/>
  <c r="M154"/>
  <c r="L155"/>
  <c r="M155"/>
  <c r="L156"/>
  <c r="M156"/>
  <c r="L157"/>
  <c r="M157"/>
  <c r="L158"/>
  <c r="M158"/>
  <c r="L159"/>
  <c r="M159"/>
  <c r="L160"/>
  <c r="M160"/>
  <c r="L161"/>
  <c r="M161"/>
  <c r="B162"/>
  <c r="C162"/>
  <c r="D162"/>
  <c r="E162"/>
  <c r="F162"/>
  <c r="G162"/>
  <c r="H162"/>
  <c r="I162"/>
  <c r="J162"/>
  <c r="K162"/>
  <c r="L162"/>
  <c r="L163"/>
  <c r="M163"/>
  <c r="L164"/>
  <c r="M164"/>
  <c r="L165"/>
  <c r="M165"/>
  <c r="L168"/>
  <c r="M168"/>
  <c r="L169"/>
  <c r="M169"/>
  <c r="L170"/>
  <c r="M170"/>
  <c r="L171"/>
  <c r="M171"/>
  <c r="L172"/>
  <c r="M172"/>
  <c r="L173"/>
  <c r="M173"/>
  <c r="L174"/>
  <c r="M174"/>
  <c r="L176"/>
  <c r="M176"/>
  <c r="L178"/>
  <c r="M178"/>
  <c r="L179"/>
  <c r="M179"/>
  <c r="L180"/>
  <c r="M180"/>
  <c r="L181"/>
  <c r="M181"/>
  <c r="L183"/>
  <c r="M183"/>
  <c r="L184"/>
  <c r="M184"/>
  <c r="L185"/>
  <c r="M185"/>
  <c r="B186"/>
  <c r="C186"/>
  <c r="D186"/>
  <c r="E186"/>
  <c r="F186"/>
  <c r="G186"/>
  <c r="H186"/>
  <c r="I186"/>
  <c r="J186"/>
  <c r="K186"/>
  <c r="L186"/>
  <c r="M186"/>
  <c r="L187"/>
  <c r="M187"/>
  <c r="B188"/>
  <c r="C188"/>
  <c r="D188"/>
  <c r="E188"/>
  <c r="F188"/>
  <c r="G188"/>
  <c r="H188"/>
  <c r="I188"/>
  <c r="J188"/>
  <c r="K188"/>
  <c r="L188"/>
  <c r="M188"/>
  <c r="L189"/>
  <c r="M189"/>
  <c r="L190"/>
  <c r="M190"/>
  <c r="L191"/>
  <c r="M191"/>
  <c r="L192"/>
  <c r="M192"/>
  <c r="L193"/>
  <c r="M193"/>
  <c r="L194"/>
  <c r="M194"/>
  <c r="L195"/>
  <c r="M195"/>
  <c r="B196"/>
  <c r="C196"/>
  <c r="D196"/>
  <c r="E196"/>
  <c r="F196"/>
  <c r="G196"/>
  <c r="H196"/>
  <c r="I196"/>
  <c r="J196"/>
  <c r="K196"/>
  <c r="L196"/>
  <c r="M196"/>
  <c r="L197"/>
  <c r="M197"/>
  <c r="L198"/>
  <c r="M198"/>
  <c r="B199"/>
  <c r="C199"/>
  <c r="D199"/>
  <c r="E199"/>
  <c r="F199"/>
  <c r="G199"/>
  <c r="H199"/>
  <c r="I199"/>
  <c r="J199"/>
  <c r="K199"/>
  <c r="L199"/>
  <c r="M199"/>
  <c r="L200"/>
  <c r="M200"/>
  <c r="L201"/>
  <c r="M201"/>
  <c r="L202"/>
  <c r="M202"/>
  <c r="L203"/>
  <c r="M203"/>
  <c r="L204"/>
  <c r="M204"/>
  <c r="L205"/>
  <c r="M205"/>
  <c r="L206"/>
  <c r="M206"/>
  <c r="B207"/>
  <c r="C207"/>
  <c r="D207"/>
  <c r="E207"/>
  <c r="F207"/>
  <c r="G207"/>
  <c r="H207"/>
  <c r="I207"/>
  <c r="J207"/>
  <c r="K207"/>
  <c r="L207"/>
  <c r="M207"/>
  <c r="L208"/>
  <c r="M208"/>
  <c r="L209"/>
  <c r="M209"/>
  <c r="L210"/>
  <c r="M210"/>
  <c r="L211"/>
  <c r="M211"/>
  <c r="L212"/>
  <c r="M212"/>
  <c r="L213"/>
  <c r="M213"/>
  <c r="L214"/>
  <c r="M214"/>
  <c r="B215"/>
  <c r="C215"/>
  <c r="D215"/>
  <c r="E215"/>
  <c r="F215"/>
  <c r="G215"/>
  <c r="H215"/>
  <c r="I215"/>
  <c r="J215"/>
  <c r="K215"/>
  <c r="L215"/>
  <c r="M215"/>
  <c r="L216"/>
  <c r="M216"/>
  <c r="B217"/>
  <c r="C217"/>
  <c r="C221"/>
  <c r="D217"/>
  <c r="E217"/>
  <c r="F217"/>
  <c r="G217"/>
  <c r="G221"/>
  <c r="G234"/>
  <c r="H217"/>
  <c r="I217"/>
  <c r="I221"/>
  <c r="I234"/>
  <c r="J217"/>
  <c r="K217"/>
  <c r="K221"/>
  <c r="K234"/>
  <c r="L217"/>
  <c r="M217"/>
  <c r="L218"/>
  <c r="M218"/>
  <c r="B221"/>
  <c r="B234"/>
  <c r="D221"/>
  <c r="D234"/>
  <c r="E221"/>
  <c r="F221"/>
  <c r="F234"/>
  <c r="H221"/>
  <c r="H234"/>
  <c r="J221"/>
  <c r="J234"/>
  <c r="L221"/>
  <c r="L223"/>
  <c r="M223"/>
  <c r="L224"/>
  <c r="M224"/>
  <c r="L225"/>
  <c r="M225"/>
  <c r="L226"/>
  <c r="M226"/>
  <c r="L230"/>
  <c r="M230"/>
  <c r="B233"/>
  <c r="C233"/>
  <c r="D233"/>
  <c r="E233"/>
  <c r="F233"/>
  <c r="G233"/>
  <c r="H233"/>
  <c r="I233"/>
  <c r="K233"/>
  <c r="M233"/>
  <c r="E234"/>
  <c r="C237"/>
  <c r="E237"/>
  <c r="G237"/>
  <c r="I237"/>
  <c r="K237"/>
  <c r="M238"/>
  <c r="M239"/>
  <c r="M240"/>
  <c r="P3" i="27445"/>
  <c r="G57" i="27438" s="1"/>
  <c r="P4" i="27445"/>
  <c r="G58" i="27438"/>
  <c r="P5" i="27445"/>
  <c r="G56" i="27438" s="1"/>
  <c r="D6" i="27445"/>
  <c r="E6"/>
  <c r="F6"/>
  <c r="G6"/>
  <c r="H6"/>
  <c r="I6"/>
  <c r="J6"/>
  <c r="K6"/>
  <c r="L6"/>
  <c r="M6"/>
  <c r="N6"/>
  <c r="O6"/>
  <c r="P7"/>
  <c r="P8"/>
  <c r="P9"/>
  <c r="P10"/>
  <c r="G62" i="27438" s="1"/>
  <c r="P11" i="27445"/>
  <c r="P12"/>
  <c r="G63" i="27438"/>
  <c r="D13" i="27445"/>
  <c r="E13"/>
  <c r="F13"/>
  <c r="G13"/>
  <c r="H13"/>
  <c r="I13"/>
  <c r="J13"/>
  <c r="K13"/>
  <c r="L13"/>
  <c r="M13"/>
  <c r="N13"/>
  <c r="O13"/>
  <c r="P14"/>
  <c r="G66" i="27438" s="1"/>
  <c r="P15" i="27445"/>
  <c r="P16"/>
  <c r="G65" i="27438"/>
  <c r="P17" i="27445"/>
  <c r="D18"/>
  <c r="E18"/>
  <c r="F18"/>
  <c r="G18"/>
  <c r="H18"/>
  <c r="I18"/>
  <c r="J18"/>
  <c r="K18"/>
  <c r="L18"/>
  <c r="M18"/>
  <c r="N18"/>
  <c r="O18"/>
  <c r="P19"/>
  <c r="G74" i="27438"/>
  <c r="P20" i="27445"/>
  <c r="G75" i="27438" s="1"/>
  <c r="P21" i="27445"/>
  <c r="G70" i="27438" s="1"/>
  <c r="P22" i="27445"/>
  <c r="G69" i="27438" s="1"/>
  <c r="P23" i="27445"/>
  <c r="P24"/>
  <c r="G72" i="27438" s="1"/>
  <c r="P25" i="27445"/>
  <c r="P26"/>
  <c r="P27"/>
  <c r="P28"/>
  <c r="P29"/>
  <c r="G71" i="27438" s="1"/>
  <c r="P30" i="27445"/>
  <c r="P31"/>
  <c r="D32"/>
  <c r="E32"/>
  <c r="F32"/>
  <c r="G32"/>
  <c r="H32"/>
  <c r="I32"/>
  <c r="J32"/>
  <c r="P33"/>
  <c r="G78" i="27438" s="1"/>
  <c r="P34" i="27445"/>
  <c r="G77" i="27438"/>
  <c r="P35" i="27445"/>
  <c r="D36"/>
  <c r="P36" s="1"/>
  <c r="E36"/>
  <c r="F36"/>
  <c r="G36"/>
  <c r="H36"/>
  <c r="I36"/>
  <c r="J36"/>
  <c r="K36"/>
  <c r="L36"/>
  <c r="M36"/>
  <c r="N36"/>
  <c r="O36"/>
  <c r="P37"/>
  <c r="G81" i="27438"/>
  <c r="P38" i="27445"/>
  <c r="G82" i="27438"/>
  <c r="P39" i="27445"/>
  <c r="G80" i="27438"/>
  <c r="P40" i="27445"/>
  <c r="G83" i="27438"/>
  <c r="I41" i="27445"/>
  <c r="J41"/>
  <c r="P41"/>
  <c r="K41"/>
  <c r="L41"/>
  <c r="M41"/>
  <c r="N41"/>
  <c r="O41"/>
  <c r="P42"/>
  <c r="G86" i="27438"/>
  <c r="P43" i="27445"/>
  <c r="P44"/>
  <c r="G84" i="27438"/>
  <c r="P45" i="27445"/>
  <c r="P46"/>
  <c r="G85" i="27438"/>
  <c r="P47" i="27445"/>
  <c r="G89" i="27438" s="1"/>
  <c r="P48" i="27445"/>
  <c r="G90" i="27438" s="1"/>
  <c r="P49" i="27445"/>
  <c r="P50"/>
  <c r="G87" i="27438" s="1"/>
  <c r="P51" i="27445"/>
  <c r="G88" i="27438" s="1"/>
  <c r="P52" i="27445"/>
  <c r="G91" i="27438" s="1"/>
  <c r="P53" i="27445"/>
  <c r="P55"/>
  <c r="G59" i="27438" s="1"/>
  <c r="E56" i="27445"/>
  <c r="F56"/>
  <c r="G56"/>
  <c r="G57" s="1"/>
  <c r="H56"/>
  <c r="I56"/>
  <c r="J56"/>
  <c r="K56"/>
  <c r="L56"/>
  <c r="M56"/>
  <c r="N56"/>
  <c r="G60" i="27438"/>
  <c r="G79"/>
  <c r="D17" i="27436"/>
  <c r="D123" s="1"/>
  <c r="G17"/>
  <c r="G123" s="1"/>
  <c r="C23"/>
  <c r="F23"/>
  <c r="C28"/>
  <c r="F28"/>
  <c r="C29"/>
  <c r="F29"/>
  <c r="C30"/>
  <c r="F30"/>
  <c r="C31"/>
  <c r="F31"/>
  <c r="C32"/>
  <c r="F32"/>
  <c r="C33"/>
  <c r="F33"/>
  <c r="C34"/>
  <c r="F34"/>
  <c r="C36"/>
  <c r="F36"/>
  <c r="C37"/>
  <c r="F37"/>
  <c r="C38"/>
  <c r="F38"/>
  <c r="C41"/>
  <c r="F41"/>
  <c r="C42"/>
  <c r="F42"/>
  <c r="C43"/>
  <c r="F43"/>
  <c r="C44"/>
  <c r="F44"/>
  <c r="C45"/>
  <c r="F45"/>
  <c r="C46"/>
  <c r="F46"/>
  <c r="C47"/>
  <c r="F47"/>
  <c r="C48"/>
  <c r="F48"/>
  <c r="C50"/>
  <c r="F50"/>
  <c r="C51"/>
  <c r="F51"/>
  <c r="C52"/>
  <c r="F52"/>
  <c r="C54"/>
  <c r="F54"/>
  <c r="C55"/>
  <c r="F55"/>
  <c r="C57"/>
  <c r="F57"/>
  <c r="E59"/>
  <c r="C59" s="1"/>
  <c r="C60"/>
  <c r="F60"/>
  <c r="C61"/>
  <c r="F61"/>
  <c r="C62"/>
  <c r="F62"/>
  <c r="C63"/>
  <c r="F63"/>
  <c r="D6" i="27453"/>
  <c r="C64" i="27436"/>
  <c r="F64"/>
  <c r="D17" i="27453" s="1"/>
  <c r="D15" s="1"/>
  <c r="C65" i="27436"/>
  <c r="F65"/>
  <c r="C66"/>
  <c r="F66"/>
  <c r="C67"/>
  <c r="F67"/>
  <c r="C68"/>
  <c r="F68"/>
  <c r="C70"/>
  <c r="F70"/>
  <c r="C71"/>
  <c r="F71"/>
  <c r="C72"/>
  <c r="F72"/>
  <c r="C73"/>
  <c r="F73"/>
  <c r="C74"/>
  <c r="F74"/>
  <c r="C75"/>
  <c r="F75"/>
  <c r="C76"/>
  <c r="F76"/>
  <c r="C77"/>
  <c r="F77"/>
  <c r="C78"/>
  <c r="F78"/>
  <c r="C79"/>
  <c r="F79"/>
  <c r="C80"/>
  <c r="F80"/>
  <c r="C82"/>
  <c r="F82"/>
  <c r="C83"/>
  <c r="F83"/>
  <c r="F84"/>
  <c r="C85"/>
  <c r="F85"/>
  <c r="C87"/>
  <c r="F87"/>
  <c r="C89"/>
  <c r="F89"/>
  <c r="F90"/>
  <c r="C92"/>
  <c r="F92"/>
  <c r="C94"/>
  <c r="F94"/>
  <c r="C96"/>
  <c r="F96"/>
  <c r="C97"/>
  <c r="C99"/>
  <c r="F99"/>
  <c r="C101"/>
  <c r="F101"/>
  <c r="C103"/>
  <c r="F103"/>
  <c r="C105"/>
  <c r="F105"/>
  <c r="C106"/>
  <c r="F106"/>
  <c r="C107"/>
  <c r="F107"/>
  <c r="C109"/>
  <c r="F109"/>
  <c r="C110"/>
  <c r="F110"/>
  <c r="C111"/>
  <c r="F111"/>
  <c r="C113"/>
  <c r="F113"/>
  <c r="C115"/>
  <c r="F115"/>
  <c r="C116"/>
  <c r="F116"/>
  <c r="C117"/>
  <c r="F117"/>
  <c r="C118"/>
  <c r="F118"/>
  <c r="C120"/>
  <c r="F120"/>
  <c r="F121"/>
  <c r="D126"/>
  <c r="C126" s="1"/>
  <c r="G126"/>
  <c r="F126" s="1"/>
  <c r="B4" i="27452"/>
  <c r="B6"/>
  <c r="B56"/>
  <c r="B57"/>
  <c r="B8"/>
  <c r="B9"/>
  <c r="B59"/>
  <c r="B10"/>
  <c r="B60"/>
  <c r="B11"/>
  <c r="B61"/>
  <c r="B12"/>
  <c r="B65"/>
  <c r="O65" s="1"/>
  <c r="B17"/>
  <c r="B70"/>
  <c r="O70" s="1"/>
  <c r="B21"/>
  <c r="G149" i="27436"/>
  <c r="F154"/>
  <c r="L79" i="27444"/>
  <c r="E158" i="27436" s="1"/>
  <c r="L83" i="27444"/>
  <c r="E162" i="27436" s="1"/>
  <c r="F180"/>
  <c r="D189"/>
  <c r="G189"/>
  <c r="F189" s="1"/>
  <c r="C190"/>
  <c r="F190"/>
  <c r="C191"/>
  <c r="F191"/>
  <c r="C192"/>
  <c r="F192"/>
  <c r="C193"/>
  <c r="C194"/>
  <c r="F194"/>
  <c r="C195"/>
  <c r="F195"/>
  <c r="C196"/>
  <c r="F196"/>
  <c r="C200"/>
  <c r="F200"/>
  <c r="C202"/>
  <c r="F202"/>
  <c r="C203"/>
  <c r="F203"/>
  <c r="C204"/>
  <c r="F204"/>
  <c r="C205"/>
  <c r="F205"/>
  <c r="C206"/>
  <c r="F206"/>
  <c r="C207"/>
  <c r="F207"/>
  <c r="C208"/>
  <c r="F208"/>
  <c r="C212"/>
  <c r="F212"/>
  <c r="C213"/>
  <c r="F213"/>
  <c r="D214"/>
  <c r="G214"/>
  <c r="G216"/>
  <c r="C219"/>
  <c r="F219"/>
  <c r="C220"/>
  <c r="F220"/>
  <c r="C221"/>
  <c r="F221"/>
  <c r="C222"/>
  <c r="F222"/>
  <c r="C223"/>
  <c r="F223"/>
  <c r="C224"/>
  <c r="F224"/>
  <c r="C228"/>
  <c r="F228"/>
  <c r="C229"/>
  <c r="F229"/>
  <c r="C230"/>
  <c r="F230"/>
  <c r="C231"/>
  <c r="F231"/>
  <c r="C232"/>
  <c r="F232"/>
  <c r="D242"/>
  <c r="D53" i="27452"/>
  <c r="D4"/>
  <c r="D57"/>
  <c r="D61"/>
  <c r="C260" i="27436"/>
  <c r="D92" i="27452" s="1"/>
  <c r="D17"/>
  <c r="D69"/>
  <c r="D71"/>
  <c r="D264" i="27436"/>
  <c r="C264" s="1"/>
  <c r="G264"/>
  <c r="F264"/>
  <c r="C265"/>
  <c r="F265"/>
  <c r="C266"/>
  <c r="F266"/>
  <c r="C267"/>
  <c r="F267"/>
  <c r="C268"/>
  <c r="F268"/>
  <c r="C269"/>
  <c r="F269"/>
  <c r="D42" i="27452" s="1"/>
  <c r="C270" i="27436"/>
  <c r="F270"/>
  <c r="C271"/>
  <c r="F271"/>
  <c r="C273"/>
  <c r="F273"/>
  <c r="F296"/>
  <c r="E297"/>
  <c r="H297"/>
  <c r="C300"/>
  <c r="F300"/>
  <c r="C304"/>
  <c r="F304"/>
  <c r="C305"/>
  <c r="F305"/>
  <c r="C307"/>
  <c r="F307"/>
  <c r="C308"/>
  <c r="F308"/>
  <c r="E53" i="27452"/>
  <c r="E55"/>
  <c r="F313" i="27436"/>
  <c r="E31" i="27452" s="1"/>
  <c r="E7"/>
  <c r="C314" i="27436"/>
  <c r="E82" i="27452" s="1"/>
  <c r="F314" i="27436"/>
  <c r="E32" i="27452" s="1"/>
  <c r="F315" i="27436"/>
  <c r="E33" i="27452" s="1"/>
  <c r="E9"/>
  <c r="C316" i="27436"/>
  <c r="E84" i="27452" s="1"/>
  <c r="F316" i="27436"/>
  <c r="E34" i="27452"/>
  <c r="C317" i="27436"/>
  <c r="E85" i="27452"/>
  <c r="F317" i="27436"/>
  <c r="E35" i="27452" s="1"/>
  <c r="E11"/>
  <c r="E61"/>
  <c r="E12"/>
  <c r="E63"/>
  <c r="E19"/>
  <c r="E20"/>
  <c r="E71"/>
  <c r="E21"/>
  <c r="C325" i="27436"/>
  <c r="F325"/>
  <c r="C329"/>
  <c r="F329"/>
  <c r="C330"/>
  <c r="F330"/>
  <c r="C331"/>
  <c r="F331"/>
  <c r="C333"/>
  <c r="F333"/>
  <c r="G347"/>
  <c r="C349"/>
  <c r="F349"/>
  <c r="D356"/>
  <c r="F61" i="27452"/>
  <c r="F63"/>
  <c r="F14"/>
  <c r="F68"/>
  <c r="F19"/>
  <c r="D360" i="27436"/>
  <c r="F69" i="27452" s="1"/>
  <c r="F20"/>
  <c r="D361" i="27436"/>
  <c r="F71" i="27452" s="1"/>
  <c r="D363" i="27436"/>
  <c r="G363"/>
  <c r="G374"/>
  <c r="L194" i="27444"/>
  <c r="E384" i="27436" s="1"/>
  <c r="C384" s="1"/>
  <c r="D395"/>
  <c r="C395"/>
  <c r="G395"/>
  <c r="F395"/>
  <c r="C396"/>
  <c r="F396"/>
  <c r="E397"/>
  <c r="H397"/>
  <c r="G55" i="27452"/>
  <c r="F401" i="27436"/>
  <c r="G31" i="27452" s="1"/>
  <c r="C402" i="27436"/>
  <c r="G82" i="27452" s="1"/>
  <c r="G8"/>
  <c r="C403" i="27436"/>
  <c r="G83" i="27452" s="1"/>
  <c r="G60"/>
  <c r="F405" i="27436"/>
  <c r="G35" i="27452" s="1"/>
  <c r="G12"/>
  <c r="C409" i="27436"/>
  <c r="G97" i="27452" s="1"/>
  <c r="C410" i="27436"/>
  <c r="F410"/>
  <c r="C411"/>
  <c r="F411"/>
  <c r="C412"/>
  <c r="F412"/>
  <c r="F413"/>
  <c r="C419"/>
  <c r="F419"/>
  <c r="C420"/>
  <c r="F420"/>
  <c r="C422"/>
  <c r="F422"/>
  <c r="C423"/>
  <c r="F423"/>
  <c r="F424"/>
  <c r="C425"/>
  <c r="F425"/>
  <c r="C426"/>
  <c r="F426"/>
  <c r="C433"/>
  <c r="F433"/>
  <c r="F434"/>
  <c r="C435"/>
  <c r="F435"/>
  <c r="C436"/>
  <c r="F436"/>
  <c r="C437"/>
  <c r="F437"/>
  <c r="C443"/>
  <c r="F443"/>
  <c r="C444"/>
  <c r="F444"/>
  <c r="C445"/>
  <c r="F445"/>
  <c r="C446"/>
  <c r="F446"/>
  <c r="C447"/>
  <c r="F447"/>
  <c r="C448"/>
  <c r="F448"/>
  <c r="C449"/>
  <c r="F449"/>
  <c r="C457"/>
  <c r="F457"/>
  <c r="C458"/>
  <c r="F458"/>
  <c r="C459"/>
  <c r="F459"/>
  <c r="C461"/>
  <c r="F461"/>
  <c r="C464"/>
  <c r="F464"/>
  <c r="C465"/>
  <c r="F465"/>
  <c r="C466"/>
  <c r="F466"/>
  <c r="C467"/>
  <c r="F467"/>
  <c r="C468"/>
  <c r="F468"/>
  <c r="C469"/>
  <c r="F469"/>
  <c r="C470"/>
  <c r="F470"/>
  <c r="C471"/>
  <c r="F471"/>
  <c r="C472"/>
  <c r="F472"/>
  <c r="C473"/>
  <c r="F473"/>
  <c r="C474"/>
  <c r="F474"/>
  <c r="C479"/>
  <c r="F479"/>
  <c r="C480"/>
  <c r="F480"/>
  <c r="C481"/>
  <c r="F481"/>
  <c r="C482"/>
  <c r="F482"/>
  <c r="C492"/>
  <c r="F492"/>
  <c r="H53" i="27452"/>
  <c r="H4"/>
  <c r="C495" i="27436"/>
  <c r="H79" i="27452" s="1"/>
  <c r="H5"/>
  <c r="F495" i="27436"/>
  <c r="H29" i="27452" s="1"/>
  <c r="H56"/>
  <c r="H7"/>
  <c r="O7" s="1"/>
  <c r="E42" i="27453" s="1"/>
  <c r="F497" i="27436"/>
  <c r="H31" i="27452"/>
  <c r="H57"/>
  <c r="H8"/>
  <c r="H58"/>
  <c r="C501" i="27436"/>
  <c r="H85" i="27452" s="1"/>
  <c r="H11"/>
  <c r="H61"/>
  <c r="H68"/>
  <c r="H69"/>
  <c r="H71"/>
  <c r="C504" i="27436"/>
  <c r="F504"/>
  <c r="H42" i="27452"/>
  <c r="H19"/>
  <c r="H21"/>
  <c r="C509" i="27436"/>
  <c r="F509"/>
  <c r="C510"/>
  <c r="F510"/>
  <c r="C511"/>
  <c r="F511"/>
  <c r="C515"/>
  <c r="F515"/>
  <c r="C517"/>
  <c r="F517"/>
  <c r="C518"/>
  <c r="F518"/>
  <c r="C519"/>
  <c r="F519"/>
  <c r="C522"/>
  <c r="F522"/>
  <c r="C530"/>
  <c r="F530"/>
  <c r="C531"/>
  <c r="F531"/>
  <c r="C532"/>
  <c r="F532"/>
  <c r="C533"/>
  <c r="F533"/>
  <c r="C537"/>
  <c r="F537"/>
  <c r="C538"/>
  <c r="F538"/>
  <c r="C539"/>
  <c r="F539"/>
  <c r="C540"/>
  <c r="F540"/>
  <c r="C541"/>
  <c r="F541"/>
  <c r="C542"/>
  <c r="F542"/>
  <c r="C543"/>
  <c r="F543"/>
  <c r="C548"/>
  <c r="F548"/>
  <c r="C549"/>
  <c r="F549"/>
  <c r="H550"/>
  <c r="D552"/>
  <c r="I57" i="27452" s="1"/>
  <c r="D553" i="27436"/>
  <c r="I61" i="27452" s="1"/>
  <c r="E551" i="27436"/>
  <c r="E552"/>
  <c r="E553"/>
  <c r="E554"/>
  <c r="I5" i="27452"/>
  <c r="I8"/>
  <c r="I12"/>
  <c r="F553" i="27436"/>
  <c r="I36" i="27452" s="1"/>
  <c r="D555" i="27436"/>
  <c r="C555" s="1"/>
  <c r="G555"/>
  <c r="F555" s="1"/>
  <c r="C556"/>
  <c r="F556"/>
  <c r="D557"/>
  <c r="C557" s="1"/>
  <c r="G557"/>
  <c r="F557" s="1"/>
  <c r="C558"/>
  <c r="F558"/>
  <c r="C559"/>
  <c r="F559"/>
  <c r="C560"/>
  <c r="F560"/>
  <c r="C561"/>
  <c r="F561"/>
  <c r="J53" i="27452"/>
  <c r="J4"/>
  <c r="J55"/>
  <c r="J6"/>
  <c r="J8"/>
  <c r="J58"/>
  <c r="C569" i="27436"/>
  <c r="J84" i="27452" s="1"/>
  <c r="F569" i="27436"/>
  <c r="C570"/>
  <c r="J85" i="27452" s="1"/>
  <c r="F570" i="27436"/>
  <c r="J35" i="27452" s="1"/>
  <c r="J61"/>
  <c r="J12"/>
  <c r="J66"/>
  <c r="J17"/>
  <c r="J67"/>
  <c r="O67" s="1"/>
  <c r="J18"/>
  <c r="O18" s="1"/>
  <c r="E63" i="27453" s="1"/>
  <c r="J68" i="27452"/>
  <c r="F574" i="27436"/>
  <c r="J44" i="27452"/>
  <c r="J21"/>
  <c r="G577" i="27436"/>
  <c r="C579"/>
  <c r="F579"/>
  <c r="C580"/>
  <c r="F580"/>
  <c r="C582"/>
  <c r="F582"/>
  <c r="C583"/>
  <c r="F583"/>
  <c r="C588"/>
  <c r="F588"/>
  <c r="C589"/>
  <c r="F589"/>
  <c r="C590"/>
  <c r="F590"/>
  <c r="C591"/>
  <c r="F591"/>
  <c r="C592"/>
  <c r="F592"/>
  <c r="C593"/>
  <c r="F593"/>
  <c r="C596"/>
  <c r="F596"/>
  <c r="C599"/>
  <c r="F599"/>
  <c r="D600"/>
  <c r="C600" s="1"/>
  <c r="G600"/>
  <c r="F600" s="1"/>
  <c r="C601"/>
  <c r="F601"/>
  <c r="C602"/>
  <c r="F602"/>
  <c r="C604"/>
  <c r="F604"/>
  <c r="C605"/>
  <c r="F605"/>
  <c r="C606"/>
  <c r="F606"/>
  <c r="C609"/>
  <c r="F609"/>
  <c r="C610"/>
  <c r="F610"/>
  <c r="C611"/>
  <c r="F611"/>
  <c r="C612"/>
  <c r="C614"/>
  <c r="F614"/>
  <c r="F615"/>
  <c r="C619"/>
  <c r="F619"/>
  <c r="G627"/>
  <c r="D634"/>
  <c r="D636"/>
  <c r="N64" i="27452" s="1"/>
  <c r="C649" i="27436"/>
  <c r="F649"/>
  <c r="F650"/>
  <c r="C651"/>
  <c r="F651"/>
  <c r="C653"/>
  <c r="F653"/>
  <c r="G662"/>
  <c r="F662" s="1"/>
  <c r="G666"/>
  <c r="B4" i="27444"/>
  <c r="D4"/>
  <c r="C4"/>
  <c r="E4"/>
  <c r="F4"/>
  <c r="G4"/>
  <c r="H4"/>
  <c r="I4"/>
  <c r="J4"/>
  <c r="K4"/>
  <c r="L5"/>
  <c r="E18" i="27436" s="1"/>
  <c r="M5" i="27444"/>
  <c r="H18" i="27436" s="1"/>
  <c r="L6" i="27444"/>
  <c r="E19" i="27436" s="1"/>
  <c r="M6" i="27444"/>
  <c r="H19" i="27436" s="1"/>
  <c r="L7" i="27444"/>
  <c r="E20" i="27436" s="1"/>
  <c r="M7" i="27444"/>
  <c r="E21" i="27436"/>
  <c r="M8" i="27444"/>
  <c r="H21" i="27436" s="1"/>
  <c r="L9" i="27444"/>
  <c r="E22" i="27436" s="1"/>
  <c r="M9" i="27444"/>
  <c r="H22" i="27436" s="1"/>
  <c r="L14" i="27444"/>
  <c r="E35" i="27436" s="1"/>
  <c r="M14" i="27444"/>
  <c r="H35" i="27436" s="1"/>
  <c r="L15" i="27444"/>
  <c r="E39" i="27436" s="1"/>
  <c r="M15" i="27444"/>
  <c r="H39" i="27436" s="1"/>
  <c r="L16" i="27444"/>
  <c r="E40" i="27436" s="1"/>
  <c r="M16" i="27444"/>
  <c r="H40" i="27436" s="1"/>
  <c r="L17" i="27444"/>
  <c r="E49" i="27436" s="1"/>
  <c r="M17" i="27444"/>
  <c r="H49" i="27436" s="1"/>
  <c r="L18" i="27444"/>
  <c r="E56" i="27436" s="1"/>
  <c r="C56" s="1"/>
  <c r="M18" i="27444"/>
  <c r="H56" i="27436" s="1"/>
  <c r="L19" i="27444"/>
  <c r="E58" i="27436" s="1"/>
  <c r="M19" i="27444"/>
  <c r="H58" i="27436" s="1"/>
  <c r="L20" i="27444"/>
  <c r="M20"/>
  <c r="L21"/>
  <c r="E81" i="27436" s="1"/>
  <c r="M21" i="27444"/>
  <c r="L22"/>
  <c r="E84" i="27436" s="1"/>
  <c r="M22" i="27444"/>
  <c r="L23"/>
  <c r="E86" i="27436" s="1"/>
  <c r="M23" i="27444"/>
  <c r="H78" i="27446"/>
  <c r="I57" i="27448" s="1"/>
  <c r="L24" i="27444"/>
  <c r="E88" i="27436" s="1"/>
  <c r="M24" i="27444"/>
  <c r="H88" i="27436" s="1"/>
  <c r="L25" i="27444"/>
  <c r="E90" i="27436"/>
  <c r="M25" i="27444"/>
  <c r="L28"/>
  <c r="M28"/>
  <c r="L30"/>
  <c r="E93" i="27436" s="1"/>
  <c r="M30" i="27444"/>
  <c r="H93" i="27436" s="1"/>
  <c r="L31" i="27444"/>
  <c r="E100" i="27436" s="1"/>
  <c r="M31" i="27444"/>
  <c r="H100" i="27436" s="1"/>
  <c r="C32" i="27444"/>
  <c r="C26" s="1"/>
  <c r="E19" i="27450" s="1"/>
  <c r="L33" i="27444"/>
  <c r="M33"/>
  <c r="L34"/>
  <c r="M34"/>
  <c r="L35"/>
  <c r="M35"/>
  <c r="L36"/>
  <c r="M36"/>
  <c r="L37"/>
  <c r="M37"/>
  <c r="L38"/>
  <c r="E104" i="27436" s="1"/>
  <c r="M38" i="27444"/>
  <c r="H104" i="27436" s="1"/>
  <c r="L39" i="27444"/>
  <c r="E108" i="27436" s="1"/>
  <c r="M39" i="27444"/>
  <c r="H108" i="27436" s="1"/>
  <c r="L40" i="27444"/>
  <c r="E98" i="27436" s="1"/>
  <c r="E90" i="27446" s="1"/>
  <c r="M40" i="27444"/>
  <c r="H98" i="27436" s="1"/>
  <c r="H104" i="27446"/>
  <c r="F104" s="1"/>
  <c r="E119" i="27436"/>
  <c r="E111" i="27446" s="1"/>
  <c r="F85" i="27448" s="1"/>
  <c r="D85" s="1"/>
  <c r="H119" i="27436"/>
  <c r="H111" i="27446" s="1"/>
  <c r="I85" i="27448" s="1"/>
  <c r="G85" s="1"/>
  <c r="L42" i="27444"/>
  <c r="E122" i="27436" s="1"/>
  <c r="M42" i="27444"/>
  <c r="H122" i="27436" s="1"/>
  <c r="H114" i="27446" s="1"/>
  <c r="L45" i="27444"/>
  <c r="F143" i="27436"/>
  <c r="B41" i="27452" s="1"/>
  <c r="O41" s="1"/>
  <c r="D61" i="27453" s="1"/>
  <c r="B70" i="27444"/>
  <c r="H70"/>
  <c r="C70"/>
  <c r="D70"/>
  <c r="E70"/>
  <c r="F70"/>
  <c r="G70"/>
  <c r="I70"/>
  <c r="J70"/>
  <c r="K70"/>
  <c r="L71"/>
  <c r="E150" i="27436" s="1"/>
  <c r="C150" s="1"/>
  <c r="M71" i="27444"/>
  <c r="H150" i="27436" s="1"/>
  <c r="F150" s="1"/>
  <c r="L72" i="27444"/>
  <c r="E151" i="27436" s="1"/>
  <c r="C151" s="1"/>
  <c r="M72" i="27444"/>
  <c r="H151" i="27436" s="1"/>
  <c r="F151" s="1"/>
  <c r="L73" i="27444"/>
  <c r="E152" i="27436" s="1"/>
  <c r="C152" s="1"/>
  <c r="M73" i="27444"/>
  <c r="H152" i="27436" s="1"/>
  <c r="L74" i="27444"/>
  <c r="M79"/>
  <c r="H158" i="27436" s="1"/>
  <c r="M83" i="27444"/>
  <c r="H162" i="27436" s="1"/>
  <c r="L85" i="27444"/>
  <c r="E164" i="27436" s="1"/>
  <c r="C164" s="1"/>
  <c r="M85" i="27444"/>
  <c r="H164" i="27436" s="1"/>
  <c r="F164" s="1"/>
  <c r="L87" i="27444"/>
  <c r="E166" i="27436" s="1"/>
  <c r="M87" i="27444"/>
  <c r="H166" i="27436" s="1"/>
  <c r="L88" i="27444"/>
  <c r="E167" i="27436" s="1"/>
  <c r="M88" i="27444"/>
  <c r="H167" i="27436" s="1"/>
  <c r="F167" s="1"/>
  <c r="L89" i="27444"/>
  <c r="E168" i="27436" s="1"/>
  <c r="M89" i="27444"/>
  <c r="H168" i="27436" s="1"/>
  <c r="L95" i="27444"/>
  <c r="E173" i="27436" s="1"/>
  <c r="M95" i="27444"/>
  <c r="H173" i="27436" s="1"/>
  <c r="L96" i="27444"/>
  <c r="E174" i="27436" s="1"/>
  <c r="C174" s="1"/>
  <c r="M96" i="27444"/>
  <c r="H174" i="27436" s="1"/>
  <c r="L97" i="27444"/>
  <c r="E175" i="27436" s="1"/>
  <c r="M97" i="27444"/>
  <c r="H175" i="27436" s="1"/>
  <c r="L98" i="27444"/>
  <c r="E176" i="27436" s="1"/>
  <c r="C176" s="1"/>
  <c r="M98" i="27444"/>
  <c r="H176" i="27436" s="1"/>
  <c r="F176" s="1"/>
  <c r="L99" i="27444"/>
  <c r="E177" i="27436" s="1"/>
  <c r="C177" s="1"/>
  <c r="M99" i="27444"/>
  <c r="H177" i="27436" s="1"/>
  <c r="F177" s="1"/>
  <c r="L100" i="27444"/>
  <c r="E178" i="27436" s="1"/>
  <c r="M100" i="27444"/>
  <c r="H178" i="27436" s="1"/>
  <c r="L101" i="27444"/>
  <c r="E179" i="27436" s="1"/>
  <c r="M101" i="27444"/>
  <c r="H179" i="27436" s="1"/>
  <c r="L102" i="27444"/>
  <c r="E180" i="27436" s="1"/>
  <c r="M102" i="27444"/>
  <c r="H180" i="27436" s="1"/>
  <c r="H139" s="1"/>
  <c r="F139" s="1"/>
  <c r="B33" i="27452" s="1"/>
  <c r="C111" i="27444"/>
  <c r="D111"/>
  <c r="E111"/>
  <c r="F111"/>
  <c r="G111"/>
  <c r="H111"/>
  <c r="I111"/>
  <c r="J111"/>
  <c r="K111"/>
  <c r="L112"/>
  <c r="L111" s="1"/>
  <c r="E215" i="27436" s="1"/>
  <c r="M112" i="27444"/>
  <c r="H215" i="27436" s="1"/>
  <c r="B113" i="27444"/>
  <c r="C18" i="27450" s="1"/>
  <c r="K73" s="1"/>
  <c r="I42" i="27441" s="1"/>
  <c r="E42" s="1"/>
  <c r="C113" i="27444"/>
  <c r="E113"/>
  <c r="G113"/>
  <c r="I113"/>
  <c r="J113"/>
  <c r="K113"/>
  <c r="L114"/>
  <c r="E217" i="27436" s="1"/>
  <c r="M114" i="27444"/>
  <c r="H217" i="27436" s="1"/>
  <c r="F217" s="1"/>
  <c r="L118" i="27444"/>
  <c r="E243" i="27436" s="1"/>
  <c r="M118" i="27444"/>
  <c r="H243" i="27436" s="1"/>
  <c r="F243" s="1"/>
  <c r="C28" i="27452" s="1"/>
  <c r="L119" i="27444"/>
  <c r="E244" i="27436" s="1"/>
  <c r="C244" s="1"/>
  <c r="C80" i="27452" s="1"/>
  <c r="M119" i="27444"/>
  <c r="H244" i="27436" s="1"/>
  <c r="F244" s="1"/>
  <c r="C30" i="27452" s="1"/>
  <c r="L123" i="27444"/>
  <c r="E246" i="27436" s="1"/>
  <c r="C246" s="1"/>
  <c r="C81" i="27452" s="1"/>
  <c r="M123" i="27444"/>
  <c r="H246" i="27436" s="1"/>
  <c r="F246" s="1"/>
  <c r="C31" i="27452" s="1"/>
  <c r="L124" i="27444"/>
  <c r="E247" i="27436" s="1"/>
  <c r="C247" s="1"/>
  <c r="C82" i="27452" s="1"/>
  <c r="M124" i="27444"/>
  <c r="H247" i="27436" s="1"/>
  <c r="F247" s="1"/>
  <c r="L127" i="27444"/>
  <c r="E250" i="27436" s="1"/>
  <c r="C250" s="1"/>
  <c r="C86" i="27452" s="1"/>
  <c r="M127" i="27444"/>
  <c r="H250" i="27436" s="1"/>
  <c r="F250" s="1"/>
  <c r="L128" i="27444"/>
  <c r="E251" i="27436" s="1"/>
  <c r="C251" s="1"/>
  <c r="C97" i="27452" s="1"/>
  <c r="M132" i="27444"/>
  <c r="H279" i="27436" s="1"/>
  <c r="H257" s="1"/>
  <c r="L138" i="27444"/>
  <c r="E282" i="27436" s="1"/>
  <c r="C282" s="1"/>
  <c r="M138" i="27444"/>
  <c r="H282" i="27436" s="1"/>
  <c r="F282" s="1"/>
  <c r="L139" i="27444"/>
  <c r="E283" i="27436" s="1"/>
  <c r="C283" s="1"/>
  <c r="M139" i="27444"/>
  <c r="H283" i="27436" s="1"/>
  <c r="C96" i="27458"/>
  <c r="M140" i="27444"/>
  <c r="L143"/>
  <c r="E291" i="27436" s="1"/>
  <c r="C291" s="1"/>
  <c r="M143" i="27444"/>
  <c r="L149"/>
  <c r="E293" i="27436" s="1"/>
  <c r="C293" s="1"/>
  <c r="M149" i="27444"/>
  <c r="H293" i="27436" s="1"/>
  <c r="F293" s="1"/>
  <c r="L151" i="27444"/>
  <c r="E295" i="27436" s="1"/>
  <c r="M151" i="27444"/>
  <c r="H295" i="27436" s="1"/>
  <c r="L152" i="27444"/>
  <c r="E296" i="27436" s="1"/>
  <c r="M152" i="27444"/>
  <c r="H296" i="27436" s="1"/>
  <c r="B153" i="27444"/>
  <c r="D153"/>
  <c r="E153"/>
  <c r="F153"/>
  <c r="G153"/>
  <c r="H153"/>
  <c r="I153"/>
  <c r="J153"/>
  <c r="K153"/>
  <c r="L154"/>
  <c r="E324" i="27436" s="1"/>
  <c r="M154" i="27444"/>
  <c r="H324" i="27436" s="1"/>
  <c r="L155" i="27444"/>
  <c r="E326" i="27436" s="1"/>
  <c r="M155" i="27444"/>
  <c r="H326" i="27436" s="1"/>
  <c r="L156" i="27444"/>
  <c r="M156"/>
  <c r="B157"/>
  <c r="D157"/>
  <c r="G14" i="27450" s="1"/>
  <c r="K69" s="1"/>
  <c r="I35" i="27441" s="1"/>
  <c r="E35" s="1"/>
  <c r="F157" i="27444"/>
  <c r="J157"/>
  <c r="E157"/>
  <c r="G157"/>
  <c r="I157"/>
  <c r="K157"/>
  <c r="L158"/>
  <c r="E344" i="27436" s="1"/>
  <c r="M158" i="27444"/>
  <c r="H344" i="27436" s="1"/>
  <c r="L159" i="27444"/>
  <c r="E345" i="27436" s="1"/>
  <c r="M159" i="27444"/>
  <c r="H345" i="27436" s="1"/>
  <c r="L160" i="27444"/>
  <c r="E346" i="27436" s="1"/>
  <c r="C346" s="1"/>
  <c r="M160" i="27444"/>
  <c r="H346" i="27436" s="1"/>
  <c r="F346" s="1"/>
  <c r="B165" i="27444"/>
  <c r="C165"/>
  <c r="D165"/>
  <c r="E165"/>
  <c r="F165"/>
  <c r="G165"/>
  <c r="H165"/>
  <c r="I165"/>
  <c r="J165"/>
  <c r="C100" i="27456" s="1"/>
  <c r="K165" i="27444"/>
  <c r="L166"/>
  <c r="E348" i="27436" s="1"/>
  <c r="M166" i="27444"/>
  <c r="H348" i="27436" s="1"/>
  <c r="L167" i="27444"/>
  <c r="E349" i="27436" s="1"/>
  <c r="E320" s="1"/>
  <c r="C320" s="1"/>
  <c r="E94" i="27452" s="1"/>
  <c r="M167" i="27444"/>
  <c r="H350" i="27436" s="1"/>
  <c r="F350" s="1"/>
  <c r="L169" i="27444"/>
  <c r="M169"/>
  <c r="L174"/>
  <c r="E365" i="27436" s="1"/>
  <c r="C365" s="1"/>
  <c r="M174" i="27444"/>
  <c r="H365" i="27436" s="1"/>
  <c r="L175" i="27444"/>
  <c r="E367" i="27436" s="1"/>
  <c r="M175" i="27444"/>
  <c r="H367" i="27436" s="1"/>
  <c r="F367" s="1"/>
  <c r="L176" i="27444"/>
  <c r="E370" i="27436" s="1"/>
  <c r="C370" s="1"/>
  <c r="M176" i="27444"/>
  <c r="H370" i="27436" s="1"/>
  <c r="F370" s="1"/>
  <c r="L178" i="27444"/>
  <c r="E372" i="27436" s="1"/>
  <c r="C372" s="1"/>
  <c r="M178" i="27444"/>
  <c r="H372" i="27436" s="1"/>
  <c r="F372" s="1"/>
  <c r="L180" i="27444"/>
  <c r="E373" i="27436" s="1"/>
  <c r="M180" i="27444"/>
  <c r="H373" i="27436" s="1"/>
  <c r="M186" i="27444"/>
  <c r="H375" i="27436" s="1"/>
  <c r="F375" s="1"/>
  <c r="L188" i="27444"/>
  <c r="E376" i="27436" s="1"/>
  <c r="M188" i="27444"/>
  <c r="H376" i="27436" s="1"/>
  <c r="F376" s="1"/>
  <c r="M189" i="27444"/>
  <c r="H378" i="27436" s="1"/>
  <c r="F378" s="1"/>
  <c r="L191" i="27444"/>
  <c r="E382" i="27436" s="1"/>
  <c r="C382" s="1"/>
  <c r="M191" i="27444"/>
  <c r="H382" i="27436" s="1"/>
  <c r="F382" s="1"/>
  <c r="L192" i="27444"/>
  <c r="E383" i="27436" s="1"/>
  <c r="C383" s="1"/>
  <c r="M192" i="27444"/>
  <c r="H383" i="27436" s="1"/>
  <c r="F383" s="1"/>
  <c r="M194" i="27444"/>
  <c r="H384" i="27436" s="1"/>
  <c r="F384" s="1"/>
  <c r="M198" i="27444"/>
  <c r="H386" i="27436" s="1"/>
  <c r="L199" i="27444"/>
  <c r="E387" i="27436" s="1"/>
  <c r="C387" s="1"/>
  <c r="M199" i="27444"/>
  <c r="H387" i="27436" s="1"/>
  <c r="M200" i="27444"/>
  <c r="H388" i="27436" s="1"/>
  <c r="E392"/>
  <c r="C392" s="1"/>
  <c r="M204" i="27444"/>
  <c r="H392" i="27436" s="1"/>
  <c r="F392" s="1"/>
  <c r="L206" i="27444"/>
  <c r="E394" i="27436" s="1"/>
  <c r="M206" i="27444"/>
  <c r="H394" i="27436" s="1"/>
  <c r="F394" s="1"/>
  <c r="B207" i="27444"/>
  <c r="C207"/>
  <c r="D207"/>
  <c r="E207"/>
  <c r="F207"/>
  <c r="G207"/>
  <c r="H207"/>
  <c r="I207"/>
  <c r="J207"/>
  <c r="K207"/>
  <c r="L207"/>
  <c r="M207"/>
  <c r="L208"/>
  <c r="M208"/>
  <c r="D209"/>
  <c r="G209"/>
  <c r="I209"/>
  <c r="L212"/>
  <c r="E521" i="27436" s="1"/>
  <c r="M212" i="27444"/>
  <c r="H521" i="27436" s="1"/>
  <c r="L213" i="27444"/>
  <c r="E525" i="27436" s="1"/>
  <c r="M213" i="27444"/>
  <c r="H525" i="27436" s="1"/>
  <c r="M214" i="27444"/>
  <c r="H526" i="27436" s="1"/>
  <c r="L215" i="27444"/>
  <c r="E527" i="27436" s="1"/>
  <c r="M215" i="27444"/>
  <c r="H527" i="27436" s="1"/>
  <c r="L216" i="27444"/>
  <c r="E528" i="27436" s="1"/>
  <c r="M216" i="27444"/>
  <c r="H528" i="27436" s="1"/>
  <c r="L217" i="27444"/>
  <c r="M217"/>
  <c r="F529" i="27436"/>
  <c r="L219" i="27444"/>
  <c r="M219"/>
  <c r="B220"/>
  <c r="C17" i="27450" s="1"/>
  <c r="K72" s="1"/>
  <c r="I40" i="27441" s="1"/>
  <c r="C220" i="27444"/>
  <c r="D220"/>
  <c r="M220"/>
  <c r="L221"/>
  <c r="E613" i="27436" s="1"/>
  <c r="M221" i="27444"/>
  <c r="H613" i="27436" s="1"/>
  <c r="L222" i="27444"/>
  <c r="E595" i="27436" s="1"/>
  <c r="M222" i="27444"/>
  <c r="H615" i="27436" s="1"/>
  <c r="H568" s="1"/>
  <c r="F568" s="1"/>
  <c r="J33" i="27452" s="1"/>
  <c r="B223" i="27444"/>
  <c r="C223"/>
  <c r="E223"/>
  <c r="I29" i="27450" s="1"/>
  <c r="F223" i="27444"/>
  <c r="K29" i="27450" s="1"/>
  <c r="G223" i="27444"/>
  <c r="H223"/>
  <c r="I223"/>
  <c r="J223"/>
  <c r="K223"/>
  <c r="L224"/>
  <c r="E621" i="27436" s="1"/>
  <c r="C621" s="1"/>
  <c r="K81" i="27452" s="1"/>
  <c r="M224" i="27444"/>
  <c r="H621" i="27436" s="1"/>
  <c r="F621" s="1"/>
  <c r="K32" i="27452" s="1"/>
  <c r="L225" i="27444"/>
  <c r="E623" i="27436" s="1"/>
  <c r="C623" s="1"/>
  <c r="K86" i="27452" s="1"/>
  <c r="C622" i="27436"/>
  <c r="K85" i="27452" s="1"/>
  <c r="M225" i="27444"/>
  <c r="H623" i="27436" s="1"/>
  <c r="F623" s="1"/>
  <c r="K36" i="27452" s="1"/>
  <c r="F622" i="27436"/>
  <c r="L226" i="27444"/>
  <c r="E624" i="27436" s="1"/>
  <c r="C624" s="1"/>
  <c r="K94" i="27452" s="1"/>
  <c r="M226" i="27444"/>
  <c r="H624" i="27436" s="1"/>
  <c r="L227" i="27444"/>
  <c r="E625" i="27436" s="1"/>
  <c r="C625" s="1"/>
  <c r="K95" i="27452" s="1"/>
  <c r="M227" i="27444"/>
  <c r="L228"/>
  <c r="E626" i="27436" s="1"/>
  <c r="M228" i="27444"/>
  <c r="H626" i="27436" s="1"/>
  <c r="F626" s="1"/>
  <c r="K46" i="27452" s="1"/>
  <c r="M229" i="27444"/>
  <c r="L232"/>
  <c r="E628" i="27436" s="1"/>
  <c r="M232" i="27444"/>
  <c r="H628" i="27436" s="1"/>
  <c r="F628" s="1"/>
  <c r="L32" i="27452" s="1"/>
  <c r="M233" i="27444"/>
  <c r="H629" i="27436" s="1"/>
  <c r="F629" s="1"/>
  <c r="L36" i="27452" s="1"/>
  <c r="L234" i="27444"/>
  <c r="E630" i="27436" s="1"/>
  <c r="C630" s="1"/>
  <c r="L94" i="27452" s="1"/>
  <c r="M234" i="27444"/>
  <c r="H630" i="27436" s="1"/>
  <c r="F630" s="1"/>
  <c r="L44" i="27452" s="1"/>
  <c r="M235" i="27444"/>
  <c r="H625" i="27436" s="1"/>
  <c r="F625" s="1"/>
  <c r="K45" i="27452" s="1"/>
  <c r="M237" i="27444"/>
  <c r="H633" i="27436" s="1"/>
  <c r="L235" i="27444"/>
  <c r="E631" i="27436" s="1"/>
  <c r="L237" i="27444"/>
  <c r="E633" i="27436" s="1"/>
  <c r="C633" s="1"/>
  <c r="L97" i="27452" s="1"/>
  <c r="B238" i="27444"/>
  <c r="C238"/>
  <c r="D238"/>
  <c r="E238"/>
  <c r="F238"/>
  <c r="G238"/>
  <c r="H238"/>
  <c r="I238"/>
  <c r="J238"/>
  <c r="K238"/>
  <c r="E635" i="27436"/>
  <c r="C635" s="1"/>
  <c r="M87" i="27452" s="1"/>
  <c r="M239" i="27444"/>
  <c r="H635" i="27436" s="1"/>
  <c r="B240" i="27444"/>
  <c r="E240"/>
  <c r="G240"/>
  <c r="G244" s="1"/>
  <c r="G259" s="1"/>
  <c r="I240"/>
  <c r="I244" s="1"/>
  <c r="I259" s="1"/>
  <c r="K240"/>
  <c r="K244" s="1"/>
  <c r="L241"/>
  <c r="M241"/>
  <c r="E244"/>
  <c r="E259" s="1"/>
  <c r="L247"/>
  <c r="E650" i="27436" s="1"/>
  <c r="M247" i="27444"/>
  <c r="L248"/>
  <c r="E652" i="27436" s="1"/>
  <c r="E903" i="27446" s="1"/>
  <c r="M248" i="27444"/>
  <c r="H652" i="27436" s="1"/>
  <c r="F652" s="1"/>
  <c r="L249" i="27444"/>
  <c r="E654" i="27436" s="1"/>
  <c r="M249" i="27444"/>
  <c r="H654" i="27436" s="1"/>
  <c r="L254" i="27444"/>
  <c r="B258"/>
  <c r="F258"/>
  <c r="F257" s="1"/>
  <c r="J258"/>
  <c r="C262"/>
  <c r="E262"/>
  <c r="G262"/>
  <c r="I262"/>
  <c r="K262"/>
  <c r="M263"/>
  <c r="M264"/>
  <c r="H668" i="27436" s="1"/>
  <c r="H914" i="27446" s="1"/>
  <c r="M265" i="27444"/>
  <c r="E192" i="27448"/>
  <c r="D192" s="1"/>
  <c r="E193"/>
  <c r="D193" s="1"/>
  <c r="D199"/>
  <c r="F112" i="27436"/>
  <c r="F595" i="27448"/>
  <c r="F594" s="1"/>
  <c r="E576"/>
  <c r="D576" s="1"/>
  <c r="E571"/>
  <c r="D571" s="1"/>
  <c r="G255"/>
  <c r="E239"/>
  <c r="D239" s="1"/>
  <c r="E219"/>
  <c r="D219" s="1"/>
  <c r="E207"/>
  <c r="D207" s="1"/>
  <c r="E206"/>
  <c r="D206" s="1"/>
  <c r="E205"/>
  <c r="D205" s="1"/>
  <c r="G199"/>
  <c r="F598"/>
  <c r="E596"/>
  <c r="F374"/>
  <c r="D245"/>
  <c r="F237"/>
  <c r="H232"/>
  <c r="G232"/>
  <c r="H218"/>
  <c r="G218"/>
  <c r="H216"/>
  <c r="G216"/>
  <c r="H214"/>
  <c r="G214"/>
  <c r="H212"/>
  <c r="G212"/>
  <c r="H208"/>
  <c r="G208"/>
  <c r="H206"/>
  <c r="G206"/>
  <c r="G201"/>
  <c r="H161"/>
  <c r="G161" s="1"/>
  <c r="E161"/>
  <c r="D161" s="1"/>
  <c r="E143"/>
  <c r="E130"/>
  <c r="D130"/>
  <c r="G124"/>
  <c r="G120"/>
  <c r="G112"/>
  <c r="D126"/>
  <c r="D112"/>
  <c r="E53" i="27455"/>
  <c r="C58"/>
  <c r="E137" i="27457"/>
  <c r="C137"/>
  <c r="E156" i="27458"/>
  <c r="E45" i="27455"/>
  <c r="D44" i="27457"/>
  <c r="D150" s="1"/>
  <c r="E143" i="27458"/>
  <c r="E46"/>
  <c r="D152" i="27455"/>
  <c r="F144" i="27436"/>
  <c r="B42" i="27452" s="1"/>
  <c r="G641" i="27436"/>
  <c r="E81" i="27453" s="1"/>
  <c r="E80" s="1"/>
  <c r="C553" i="27436"/>
  <c r="I86" i="27452"/>
  <c r="F552" i="27436"/>
  <c r="I32" i="27452" s="1"/>
  <c r="C551" i="27436"/>
  <c r="F499"/>
  <c r="H33" i="27452" s="1"/>
  <c r="C499" i="27436"/>
  <c r="H83" i="27452" s="1"/>
  <c r="C407" i="27436"/>
  <c r="G94" i="27452" s="1"/>
  <c r="C406" i="27436"/>
  <c r="G86" i="27452" s="1"/>
  <c r="F253" i="27436"/>
  <c r="D28" i="27452" s="1"/>
  <c r="H51" i="27446"/>
  <c r="I40" i="27448" s="1"/>
  <c r="J19" i="27452"/>
  <c r="F576" i="27436"/>
  <c r="J46" i="27452" s="1"/>
  <c r="F567" i="27436"/>
  <c r="J32" i="27452"/>
  <c r="F565" i="27436"/>
  <c r="J30" i="27452" s="1"/>
  <c r="F563" i="27436"/>
  <c r="J28" i="27452" s="1"/>
  <c r="J69"/>
  <c r="J59"/>
  <c r="J56"/>
  <c r="C568" i="27436"/>
  <c r="J83" i="27452" s="1"/>
  <c r="C565" i="27436"/>
  <c r="J80" i="27452" s="1"/>
  <c r="C563" i="27436"/>
  <c r="J78" i="27452" s="1"/>
  <c r="F501" i="27436"/>
  <c r="H35" i="27452" s="1"/>
  <c r="F500" i="27436"/>
  <c r="H34" i="27452" s="1"/>
  <c r="H9"/>
  <c r="F494" i="27436"/>
  <c r="H28" i="27452" s="1"/>
  <c r="H59"/>
  <c r="C497" i="27436"/>
  <c r="H81" i="27452" s="1"/>
  <c r="H54"/>
  <c r="F408" i="27436"/>
  <c r="G45" i="27452" s="1"/>
  <c r="F402" i="27436"/>
  <c r="G32" i="27452" s="1"/>
  <c r="G11"/>
  <c r="F407" i="27436"/>
  <c r="G44" i="27452" s="1"/>
  <c r="G68"/>
  <c r="G57"/>
  <c r="C400" i="27436"/>
  <c r="G80" i="27452" s="1"/>
  <c r="E5"/>
  <c r="C46" i="27456"/>
  <c r="C96" i="27455"/>
  <c r="E44"/>
  <c r="E26" i="27457"/>
  <c r="X25" i="27451"/>
  <c r="X27"/>
  <c r="M58" i="27441" s="1"/>
  <c r="W25" i="27451"/>
  <c r="G562" i="27436"/>
  <c r="M195" i="27444"/>
  <c r="E48" i="27457"/>
  <c r="H595" i="27436"/>
  <c r="F572"/>
  <c r="J42" i="27452" s="1"/>
  <c r="M157" i="27444"/>
  <c r="M182"/>
  <c r="M153"/>
  <c r="D330" i="27448"/>
  <c r="E329"/>
  <c r="D329" s="1"/>
  <c r="D240"/>
  <c r="G202"/>
  <c r="H192"/>
  <c r="G192" s="1"/>
  <c r="H189"/>
  <c r="G189" s="1"/>
  <c r="M117" i="27444"/>
  <c r="I174" i="27448" s="1"/>
  <c r="G174" s="1"/>
  <c r="E59" i="27452"/>
  <c r="E57"/>
  <c r="C255" i="27436"/>
  <c r="D79" i="27452" s="1"/>
  <c r="G558" i="27448"/>
  <c r="G554"/>
  <c r="E539"/>
  <c r="D539" s="1"/>
  <c r="G521"/>
  <c r="D518"/>
  <c r="D517"/>
  <c r="D515"/>
  <c r="D514"/>
  <c r="D512"/>
  <c r="D510"/>
  <c r="D509"/>
  <c r="E452"/>
  <c r="E451" s="1"/>
  <c r="D451" s="1"/>
  <c r="G449"/>
  <c r="E448"/>
  <c r="D448"/>
  <c r="G423"/>
  <c r="H369"/>
  <c r="G369" s="1"/>
  <c r="H418"/>
  <c r="G418" s="1"/>
  <c r="E402"/>
  <c r="D402" s="1"/>
  <c r="D399"/>
  <c r="D394"/>
  <c r="D390"/>
  <c r="G357"/>
  <c r="G356"/>
  <c r="G353"/>
  <c r="H342"/>
  <c r="G342" s="1"/>
  <c r="H326"/>
  <c r="G326" s="1"/>
  <c r="E268"/>
  <c r="D268" s="1"/>
  <c r="I258"/>
  <c r="E237"/>
  <c r="D237"/>
  <c r="G197"/>
  <c r="H520"/>
  <c r="G520" s="1"/>
  <c r="E236"/>
  <c r="E235" s="1"/>
  <c r="G157"/>
  <c r="G156"/>
  <c r="G155"/>
  <c r="G154"/>
  <c r="G153"/>
  <c r="G152"/>
  <c r="D150"/>
  <c r="E863" i="27446"/>
  <c r="F736"/>
  <c r="C682"/>
  <c r="F617"/>
  <c r="C512"/>
  <c r="C123"/>
  <c r="P13" i="27445"/>
  <c r="E6" i="27455"/>
  <c r="W27" i="27451"/>
  <c r="G58" i="27441" s="1"/>
  <c r="L32" i="27444"/>
  <c r="E102" i="27436" s="1"/>
  <c r="D641"/>
  <c r="D66" i="27452"/>
  <c r="M45" i="27447"/>
  <c r="G589" i="27448"/>
  <c r="G588"/>
  <c r="G587"/>
  <c r="G586"/>
  <c r="G585"/>
  <c r="G584"/>
  <c r="G582"/>
  <c r="H580"/>
  <c r="G580" s="1"/>
  <c r="D535"/>
  <c r="H238"/>
  <c r="G238" s="1"/>
  <c r="I96"/>
  <c r="E323"/>
  <c r="D323"/>
  <c r="H310"/>
  <c r="G310"/>
  <c r="C864" i="27446"/>
  <c r="C56" i="27456"/>
  <c r="D40" i="27459"/>
  <c r="D161" s="1"/>
  <c r="E140"/>
  <c r="C81"/>
  <c r="C6"/>
  <c r="C88" i="27457"/>
  <c r="C6"/>
  <c r="C554" i="27436"/>
  <c r="I97" i="27452"/>
  <c r="H567" i="27448"/>
  <c r="G567" s="1"/>
  <c r="I237"/>
  <c r="J60" i="27452"/>
  <c r="E578" i="27448"/>
  <c r="E573" s="1"/>
  <c r="D573" s="1"/>
  <c r="E567"/>
  <c r="D567" s="1"/>
  <c r="E507"/>
  <c r="D507" s="1"/>
  <c r="E504"/>
  <c r="D504" s="1"/>
  <c r="E491"/>
  <c r="D491" s="1"/>
  <c r="E478"/>
  <c r="D478" s="1"/>
  <c r="D407"/>
  <c r="D405"/>
  <c r="I246"/>
  <c r="H100"/>
  <c r="E98"/>
  <c r="H632" i="27446"/>
  <c r="E507"/>
  <c r="G433"/>
  <c r="F124"/>
  <c r="E60" i="27452"/>
  <c r="C253" i="27436"/>
  <c r="D78" i="27452" s="1"/>
  <c r="D415" i="27448"/>
  <c r="D406"/>
  <c r="G397"/>
  <c r="E681" i="27446"/>
  <c r="C63" i="27455"/>
  <c r="E103"/>
  <c r="C92"/>
  <c r="C25"/>
  <c r="C38" i="27446"/>
  <c r="L218" i="27444"/>
  <c r="E578" i="27436" s="1"/>
  <c r="G67" i="27438"/>
  <c r="F603" i="27448"/>
  <c r="D603" s="1"/>
  <c r="G583"/>
  <c r="D432"/>
  <c r="D430"/>
  <c r="D429"/>
  <c r="D425"/>
  <c r="D424"/>
  <c r="D408"/>
  <c r="G171"/>
  <c r="F858" i="27446"/>
  <c r="C858"/>
  <c r="F839"/>
  <c r="E555"/>
  <c r="H507"/>
  <c r="F610"/>
  <c r="H386"/>
  <c r="C349"/>
  <c r="D662" i="27436"/>
  <c r="C662" s="1"/>
  <c r="E362" i="27448"/>
  <c r="D362" s="1"/>
  <c r="H200"/>
  <c r="G169"/>
  <c r="D147"/>
  <c r="I98"/>
  <c r="I97"/>
  <c r="H83"/>
  <c r="G83" s="1"/>
  <c r="F26"/>
  <c r="F559"/>
  <c r="H360"/>
  <c r="H359" s="1"/>
  <c r="G119"/>
  <c r="G118"/>
  <c r="F98"/>
  <c r="F96"/>
  <c r="E454"/>
  <c r="D454" s="1"/>
  <c r="E371"/>
  <c r="D371" s="1"/>
  <c r="G248"/>
  <c r="H98"/>
  <c r="F22" i="27446"/>
  <c r="G411" i="27448"/>
  <c r="E361"/>
  <c r="D361" s="1"/>
  <c r="E366"/>
  <c r="D366" s="1"/>
  <c r="E368"/>
  <c r="D438"/>
  <c r="H422"/>
  <c r="G422" s="1"/>
  <c r="H244" i="27444"/>
  <c r="H259" s="1"/>
  <c r="K57" i="27445"/>
  <c r="D57"/>
  <c r="H44" i="27447"/>
  <c r="H219"/>
  <c r="H229"/>
  <c r="H227"/>
  <c r="H231"/>
  <c r="J57" i="27445"/>
  <c r="P6"/>
  <c r="D44" i="27447"/>
  <c r="D219"/>
  <c r="K44"/>
  <c r="K219"/>
  <c r="C824" i="27446"/>
  <c r="D823"/>
  <c r="C823"/>
  <c r="F875"/>
  <c r="D805"/>
  <c r="F545"/>
  <c r="L46" i="27447"/>
  <c r="M30"/>
  <c r="M26"/>
  <c r="M4"/>
  <c r="D433" i="27446"/>
  <c r="B44" i="27447"/>
  <c r="B219"/>
  <c r="B229"/>
  <c r="L45"/>
  <c r="D550" i="27436"/>
  <c r="H555" i="27446"/>
  <c r="M63" i="27444"/>
  <c r="M65"/>
  <c r="M50" i="27447"/>
  <c r="F359" i="27448"/>
  <c r="E457"/>
  <c r="D457"/>
  <c r="G347" i="27446"/>
  <c r="H562" i="27448"/>
  <c r="G562"/>
  <c r="E104" i="27446"/>
  <c r="C112" i="27436"/>
  <c r="K26" i="27444"/>
  <c r="F883" i="27446"/>
  <c r="E805"/>
  <c r="F695"/>
  <c r="F423"/>
  <c r="F416"/>
  <c r="F399"/>
  <c r="F397"/>
  <c r="F394"/>
  <c r="F392"/>
  <c r="F390"/>
  <c r="F370"/>
  <c r="D347"/>
  <c r="M47" i="27447"/>
  <c r="E108" i="27455"/>
  <c r="C350" i="27446"/>
  <c r="F350"/>
  <c r="H57" i="27445"/>
  <c r="C46" i="27455"/>
  <c r="E58" i="27458"/>
  <c r="E52" i="27457"/>
  <c r="D452" i="27448"/>
  <c r="C389" i="27446"/>
  <c r="E204" i="27448"/>
  <c r="D204" s="1"/>
  <c r="M46" i="27447"/>
  <c r="M49"/>
  <c r="D578" i="27448"/>
  <c r="L49" i="27447"/>
  <c r="E125" i="27457"/>
  <c r="H103" i="27448"/>
  <c r="G103" s="1"/>
  <c r="M53" i="27447"/>
  <c r="M51"/>
  <c r="I359" i="27448"/>
  <c r="M32" i="27444"/>
  <c r="H102" i="27436" s="1"/>
  <c r="C108" i="27455"/>
  <c r="L57" i="27445"/>
  <c r="F399" i="27436"/>
  <c r="G29" i="27452" s="1"/>
  <c r="F403" i="27436"/>
  <c r="G33" i="27452" s="1"/>
  <c r="G309" i="27436"/>
  <c r="H60" i="27452"/>
  <c r="N57" i="27445"/>
  <c r="C572" i="27436"/>
  <c r="J92" i="27452" s="1"/>
  <c r="L165" i="27444"/>
  <c r="L153"/>
  <c r="L61"/>
  <c r="C106" i="27457"/>
  <c r="C6" i="27458"/>
  <c r="C683" i="27446"/>
  <c r="C511"/>
  <c r="F767"/>
  <c r="F764"/>
  <c r="C397"/>
  <c r="C416"/>
  <c r="C396"/>
  <c r="C130"/>
  <c r="C755"/>
  <c r="F127"/>
  <c r="C127"/>
  <c r="F815"/>
  <c r="F613"/>
  <c r="F498"/>
  <c r="F490"/>
  <c r="C301"/>
  <c r="C287"/>
  <c r="F349"/>
  <c r="F334"/>
  <c r="F315"/>
  <c r="F248"/>
  <c r="C610"/>
  <c r="F437"/>
  <c r="E776"/>
  <c r="F755"/>
  <c r="F684"/>
  <c r="F601"/>
  <c r="F581"/>
  <c r="C423"/>
  <c r="C315"/>
  <c r="F287"/>
  <c r="F142"/>
  <c r="F135"/>
  <c r="F757"/>
  <c r="F459"/>
  <c r="C439"/>
  <c r="E386"/>
  <c r="F814"/>
  <c r="F685"/>
  <c r="C613"/>
  <c r="F606"/>
  <c r="F133"/>
  <c r="C129"/>
  <c r="C810"/>
  <c r="F799"/>
  <c r="C736"/>
  <c r="F688"/>
  <c r="C653"/>
  <c r="F556"/>
  <c r="F351"/>
  <c r="F301"/>
  <c r="F134"/>
  <c r="C124"/>
  <c r="G115" i="27448"/>
  <c r="D115"/>
  <c r="D119"/>
  <c r="D118"/>
  <c r="D39"/>
  <c r="G75"/>
  <c r="F43" i="27446"/>
  <c r="D841"/>
  <c r="E416" i="27448"/>
  <c r="D416" s="1"/>
  <c r="F513" i="27446"/>
  <c r="C514"/>
  <c r="F512"/>
  <c r="F518"/>
  <c r="F517"/>
  <c r="C519"/>
  <c r="F516"/>
  <c r="C516"/>
  <c r="F508"/>
  <c r="C513"/>
  <c r="C812"/>
  <c r="F388"/>
  <c r="C388"/>
  <c r="F510"/>
  <c r="C811"/>
  <c r="C809"/>
  <c r="F387"/>
  <c r="C509"/>
  <c r="F492"/>
  <c r="F485"/>
  <c r="F477"/>
  <c r="C806"/>
  <c r="C799"/>
  <c r="F777"/>
  <c r="C777"/>
  <c r="C767"/>
  <c r="C764"/>
  <c r="C757"/>
  <c r="C820"/>
  <c r="C684"/>
  <c r="F521"/>
  <c r="C521"/>
  <c r="F692"/>
  <c r="C688"/>
  <c r="C687"/>
  <c r="F439"/>
  <c r="G113" i="27448"/>
  <c r="F515" i="27446"/>
  <c r="F395"/>
  <c r="C387"/>
  <c r="H122"/>
  <c r="E433"/>
  <c r="H193" i="27448"/>
  <c r="G193" s="1"/>
  <c r="G127"/>
  <c r="G123"/>
  <c r="D123"/>
  <c r="G121"/>
  <c r="D113"/>
  <c r="G111"/>
  <c r="D111"/>
  <c r="C617" i="27446"/>
  <c r="F355"/>
  <c r="F131"/>
  <c r="C128"/>
  <c r="H270" i="27448"/>
  <c r="G270"/>
  <c r="G305"/>
  <c r="G304"/>
  <c r="D298"/>
  <c r="E297"/>
  <c r="D297" s="1"/>
  <c r="E270"/>
  <c r="D270" s="1"/>
  <c r="D282"/>
  <c r="D278"/>
  <c r="D274"/>
  <c r="G195"/>
  <c r="H194"/>
  <c r="G194" s="1"/>
  <c r="G149"/>
  <c r="E697" i="27446"/>
  <c r="E696"/>
  <c r="C717"/>
  <c r="I595" i="27448"/>
  <c r="I594" s="1"/>
  <c r="H596"/>
  <c r="H603" s="1"/>
  <c r="G603" s="1"/>
  <c r="E570"/>
  <c r="D570"/>
  <c r="E569"/>
  <c r="D569"/>
  <c r="D587"/>
  <c r="D586"/>
  <c r="E564"/>
  <c r="D564"/>
  <c r="E563"/>
  <c r="D563"/>
  <c r="D582"/>
  <c r="E561"/>
  <c r="D561" s="1"/>
  <c r="D581"/>
  <c r="G574"/>
  <c r="H560"/>
  <c r="G560" s="1"/>
  <c r="H568"/>
  <c r="G568" s="1"/>
  <c r="H571"/>
  <c r="G571" s="1"/>
  <c r="G549"/>
  <c r="H461"/>
  <c r="G461"/>
  <c r="G540"/>
  <c r="I536"/>
  <c r="F536"/>
  <c r="D537"/>
  <c r="H533"/>
  <c r="G533"/>
  <c r="G534"/>
  <c r="G477"/>
  <c r="H460"/>
  <c r="G460"/>
  <c r="G473"/>
  <c r="H459"/>
  <c r="G459" s="1"/>
  <c r="G472"/>
  <c r="G471"/>
  <c r="G470"/>
  <c r="G469"/>
  <c r="G467"/>
  <c r="G466"/>
  <c r="H465"/>
  <c r="G465" s="1"/>
  <c r="G421"/>
  <c r="H420"/>
  <c r="G420"/>
  <c r="G403"/>
  <c r="G396"/>
  <c r="G395"/>
  <c r="H366"/>
  <c r="G366" s="1"/>
  <c r="G394"/>
  <c r="G393"/>
  <c r="G392"/>
  <c r="H363"/>
  <c r="G363" s="1"/>
  <c r="G391"/>
  <c r="H362"/>
  <c r="G362" s="1"/>
  <c r="G390"/>
  <c r="G387"/>
  <c r="G386"/>
  <c r="H372"/>
  <c r="G372"/>
  <c r="G385"/>
  <c r="G384"/>
  <c r="G383"/>
  <c r="E374"/>
  <c r="D374" s="1"/>
  <c r="G275"/>
  <c r="G274"/>
  <c r="G272"/>
  <c r="I256"/>
  <c r="G257"/>
  <c r="F256"/>
  <c r="I252"/>
  <c r="G252" s="1"/>
  <c r="F252"/>
  <c r="I236"/>
  <c r="I235"/>
  <c r="G247"/>
  <c r="F236"/>
  <c r="F235" s="1"/>
  <c r="D247"/>
  <c r="F246"/>
  <c r="I242"/>
  <c r="D243"/>
  <c r="F242"/>
  <c r="D242"/>
  <c r="G240"/>
  <c r="H239"/>
  <c r="G239" s="1"/>
  <c r="G234"/>
  <c r="H215"/>
  <c r="G215" s="1"/>
  <c r="G230"/>
  <c r="H213"/>
  <c r="G213" s="1"/>
  <c r="H211"/>
  <c r="G211" s="1"/>
  <c r="H209"/>
  <c r="G209" s="1"/>
  <c r="G222"/>
  <c r="H207"/>
  <c r="G207"/>
  <c r="H219"/>
  <c r="G219"/>
  <c r="H205"/>
  <c r="H204"/>
  <c r="G204" s="1"/>
  <c r="F174"/>
  <c r="H130"/>
  <c r="G130" s="1"/>
  <c r="G129"/>
  <c r="H114"/>
  <c r="H109"/>
  <c r="H805" i="27446"/>
  <c r="E195" i="27448"/>
  <c r="E188" s="1"/>
  <c r="C348" i="27446"/>
  <c r="D386"/>
  <c r="C386"/>
  <c r="E122"/>
  <c r="F511"/>
  <c r="G386"/>
  <c r="F386"/>
  <c r="H269" i="27448"/>
  <c r="G269" s="1"/>
  <c r="H297"/>
  <c r="G297" s="1"/>
  <c r="H267"/>
  <c r="G267" s="1"/>
  <c r="H188"/>
  <c r="H187" s="1"/>
  <c r="H263"/>
  <c r="G263" s="1"/>
  <c r="E263"/>
  <c r="D263" s="1"/>
  <c r="H268"/>
  <c r="G268" s="1"/>
  <c r="E107"/>
  <c r="H97"/>
  <c r="G97"/>
  <c r="H681" i="27446"/>
  <c r="C606"/>
  <c r="G117" i="27448"/>
  <c r="F818" i="27446"/>
  <c r="C818"/>
  <c r="C816"/>
  <c r="F812"/>
  <c r="F809"/>
  <c r="C556"/>
  <c r="C395"/>
  <c r="C393"/>
  <c r="C391"/>
  <c r="C390"/>
  <c r="C370"/>
  <c r="C334"/>
  <c r="C248"/>
  <c r="C142"/>
  <c r="C135"/>
  <c r="F132"/>
  <c r="C498"/>
  <c r="C477"/>
  <c r="C394"/>
  <c r="C392"/>
  <c r="C839"/>
  <c r="F824"/>
  <c r="C490"/>
  <c r="C440"/>
  <c r="C875"/>
  <c r="F653"/>
  <c r="G39" i="27448"/>
  <c r="C398" i="27446"/>
  <c r="E326" i="27448"/>
  <c r="D326" s="1"/>
  <c r="C883" i="27446"/>
  <c r="D129" i="27448"/>
  <c r="D124"/>
  <c r="H464"/>
  <c r="G464" s="1"/>
  <c r="E365"/>
  <c r="D365" s="1"/>
  <c r="H374"/>
  <c r="F258"/>
  <c r="E259"/>
  <c r="D259" s="1"/>
  <c r="E269"/>
  <c r="D269" s="1"/>
  <c r="E266"/>
  <c r="D266" s="1"/>
  <c r="H107"/>
  <c r="H116"/>
  <c r="E461"/>
  <c r="D461" s="1"/>
  <c r="D534"/>
  <c r="E533"/>
  <c r="D533" s="1"/>
  <c r="D519"/>
  <c r="H491"/>
  <c r="G491" s="1"/>
  <c r="G479"/>
  <c r="H478"/>
  <c r="G478"/>
  <c r="D466"/>
  <c r="E465"/>
  <c r="D465" s="1"/>
  <c r="F368"/>
  <c r="D368" s="1"/>
  <c r="D383"/>
  <c r="D356"/>
  <c r="E355"/>
  <c r="D355" s="1"/>
  <c r="D354"/>
  <c r="E342"/>
  <c r="D342" s="1"/>
  <c r="D312"/>
  <c r="E260"/>
  <c r="D260" s="1"/>
  <c r="D280"/>
  <c r="E267"/>
  <c r="D267"/>
  <c r="H250"/>
  <c r="G251"/>
  <c r="H236"/>
  <c r="G236"/>
  <c r="H246"/>
  <c r="H237"/>
  <c r="G237" s="1"/>
  <c r="H242"/>
  <c r="D154"/>
  <c r="E101"/>
  <c r="E148"/>
  <c r="D148" s="1"/>
  <c r="D149"/>
  <c r="H146"/>
  <c r="G147"/>
  <c r="G137"/>
  <c r="H102"/>
  <c r="G126"/>
  <c r="F36"/>
  <c r="D583"/>
  <c r="G579"/>
  <c r="H578"/>
  <c r="G578" s="1"/>
  <c r="H576"/>
  <c r="G577"/>
  <c r="D472"/>
  <c r="E458"/>
  <c r="D458" s="1"/>
  <c r="G436"/>
  <c r="H435"/>
  <c r="G435"/>
  <c r="H416"/>
  <c r="G416"/>
  <c r="G417"/>
  <c r="G277"/>
  <c r="H264"/>
  <c r="G264"/>
  <c r="F254"/>
  <c r="F200"/>
  <c r="F191" s="1"/>
  <c r="D201"/>
  <c r="D196"/>
  <c r="E189"/>
  <c r="D189" s="1"/>
  <c r="I101"/>
  <c r="G122"/>
  <c r="D120"/>
  <c r="H110"/>
  <c r="F58"/>
  <c r="I30"/>
  <c r="E463"/>
  <c r="D463" s="1"/>
  <c r="E104"/>
  <c r="D104" s="1"/>
  <c r="E271"/>
  <c r="D271" s="1"/>
  <c r="E264"/>
  <c r="D264" s="1"/>
  <c r="G243"/>
  <c r="D253"/>
  <c r="G253"/>
  <c r="I368"/>
  <c r="H370"/>
  <c r="G370" s="1"/>
  <c r="H364"/>
  <c r="G364" s="1"/>
  <c r="H365"/>
  <c r="G365" s="1"/>
  <c r="H454"/>
  <c r="G454" s="1"/>
  <c r="H455"/>
  <c r="G455" s="1"/>
  <c r="H456"/>
  <c r="G456" s="1"/>
  <c r="H457"/>
  <c r="G457" s="1"/>
  <c r="E265"/>
  <c r="D265" s="1"/>
  <c r="H452"/>
  <c r="H451" s="1"/>
  <c r="G451" s="1"/>
  <c r="D144"/>
  <c r="E455"/>
  <c r="D455"/>
  <c r="E459"/>
  <c r="D459"/>
  <c r="E373"/>
  <c r="D373"/>
  <c r="E367"/>
  <c r="D367"/>
  <c r="F107"/>
  <c r="E103"/>
  <c r="E453"/>
  <c r="D453" s="1"/>
  <c r="H101"/>
  <c r="G101" s="1"/>
  <c r="E460"/>
  <c r="D460" s="1"/>
  <c r="E310"/>
  <c r="D310" s="1"/>
  <c r="E388"/>
  <c r="D388" s="1"/>
  <c r="E435"/>
  <c r="D435" s="1"/>
  <c r="E520"/>
  <c r="D520" s="1"/>
  <c r="H463"/>
  <c r="G463" s="1"/>
  <c r="E553"/>
  <c r="D553" s="1"/>
  <c r="E555"/>
  <c r="D555" s="1"/>
  <c r="E568"/>
  <c r="D568" s="1"/>
  <c r="D327"/>
  <c r="G128"/>
  <c r="H210"/>
  <c r="G210" s="1"/>
  <c r="D251"/>
  <c r="G245"/>
  <c r="H259"/>
  <c r="G259" s="1"/>
  <c r="E110"/>
  <c r="E102"/>
  <c r="D102" s="1"/>
  <c r="H235"/>
  <c r="C355" i="27446"/>
  <c r="F348"/>
  <c r="C134"/>
  <c r="G98" i="27448"/>
  <c r="F109"/>
  <c r="I107"/>
  <c r="G242"/>
  <c r="D476" i="27446"/>
  <c r="C459"/>
  <c r="C438"/>
  <c r="F842"/>
  <c r="F391"/>
  <c r="H250"/>
  <c r="E250"/>
  <c r="D193"/>
  <c r="C193"/>
  <c r="H151"/>
  <c r="C442"/>
  <c r="F152"/>
  <c r="G193"/>
  <c r="F193"/>
  <c r="D151"/>
  <c r="G151"/>
  <c r="D198" i="27448"/>
  <c r="E191"/>
  <c r="E194"/>
  <c r="D194"/>
  <c r="C140" i="27436"/>
  <c r="B84" i="27452" s="1"/>
  <c r="E97" i="27448"/>
  <c r="F836" i="27446"/>
  <c r="G823"/>
  <c r="F823"/>
  <c r="F820"/>
  <c r="C814"/>
  <c r="G776"/>
  <c r="C694"/>
  <c r="D696"/>
  <c r="C696"/>
  <c r="D681"/>
  <c r="C681"/>
  <c r="H371" i="27448"/>
  <c r="G371" s="1"/>
  <c r="C686" i="27446"/>
  <c r="G681"/>
  <c r="F681"/>
  <c r="G632"/>
  <c r="F632"/>
  <c r="H329" i="27448"/>
  <c r="G329" s="1"/>
  <c r="G616" i="27446"/>
  <c r="D616"/>
  <c r="D250"/>
  <c r="C250"/>
  <c r="H696"/>
  <c r="H476"/>
  <c r="G476"/>
  <c r="F476"/>
  <c r="E632"/>
  <c r="H347"/>
  <c r="F347"/>
  <c r="C191"/>
  <c r="F891"/>
  <c r="D248" i="27448"/>
  <c r="F97"/>
  <c r="D98"/>
  <c r="H148"/>
  <c r="G148" s="1"/>
  <c r="G122" i="27446"/>
  <c r="F122"/>
  <c r="H96" i="27448"/>
  <c r="G96" s="1"/>
  <c r="L4" i="27447"/>
  <c r="L234"/>
  <c r="I41"/>
  <c r="I228"/>
  <c r="M162"/>
  <c r="L233"/>
  <c r="E44"/>
  <c r="E219"/>
  <c r="E229"/>
  <c r="E227"/>
  <c r="E231"/>
  <c r="L51"/>
  <c r="J41"/>
  <c r="L41"/>
  <c r="F41"/>
  <c r="B228"/>
  <c r="B227"/>
  <c r="M237"/>
  <c r="I44"/>
  <c r="I219"/>
  <c r="L52"/>
  <c r="M52"/>
  <c r="M54"/>
  <c r="L54"/>
  <c r="L50"/>
  <c r="M55"/>
  <c r="L55"/>
  <c r="L53"/>
  <c r="M48"/>
  <c r="L48"/>
  <c r="J44"/>
  <c r="J219"/>
  <c r="J229"/>
  <c r="G44"/>
  <c r="G219"/>
  <c r="G229"/>
  <c r="L56"/>
  <c r="M56"/>
  <c r="K222"/>
  <c r="K229"/>
  <c r="K227"/>
  <c r="K231"/>
  <c r="L47"/>
  <c r="F44"/>
  <c r="F219"/>
  <c r="C44"/>
  <c r="C219"/>
  <c r="D229"/>
  <c r="F228"/>
  <c r="D228"/>
  <c r="D227"/>
  <c r="D231"/>
  <c r="D222"/>
  <c r="B222"/>
  <c r="L30"/>
  <c r="L26"/>
  <c r="J228"/>
  <c r="H228"/>
  <c r="H222"/>
  <c r="J227"/>
  <c r="J231"/>
  <c r="G222"/>
  <c r="F222"/>
  <c r="M44"/>
  <c r="G228"/>
  <c r="G227"/>
  <c r="G231"/>
  <c r="M41"/>
  <c r="E228"/>
  <c r="M228"/>
  <c r="G520" i="27446"/>
  <c r="C131"/>
  <c r="F151"/>
  <c r="G452" i="27448"/>
  <c r="D200"/>
  <c r="F249"/>
  <c r="G254"/>
  <c r="D250"/>
  <c r="E96"/>
  <c r="D96"/>
  <c r="D170" i="27458"/>
  <c r="G664" i="27436"/>
  <c r="F664" s="1"/>
  <c r="P56" i="27445"/>
  <c r="O57"/>
  <c r="M58" i="27444"/>
  <c r="F520" i="27436"/>
  <c r="M115" i="27444"/>
  <c r="M86"/>
  <c r="I116" i="27448" s="1"/>
  <c r="F140" i="27436"/>
  <c r="B34" i="27452"/>
  <c r="E6" i="27459"/>
  <c r="F86" i="27436"/>
  <c r="C222" i="27447"/>
  <c r="C229"/>
  <c r="F229"/>
  <c r="F227"/>
  <c r="F231"/>
  <c r="L219"/>
  <c r="C529" i="27436"/>
  <c r="C523"/>
  <c r="C520"/>
  <c r="C503"/>
  <c r="H89" i="27452"/>
  <c r="C516" i="27436"/>
  <c r="C312"/>
  <c r="E80" i="27452" s="1"/>
  <c r="M219" i="27447"/>
  <c r="E222"/>
  <c r="I229"/>
  <c r="I227"/>
  <c r="I231"/>
  <c r="I222"/>
  <c r="B231"/>
  <c r="L231"/>
  <c r="L227"/>
  <c r="F503" i="27436"/>
  <c r="F516"/>
  <c r="F312"/>
  <c r="E30" i="27452" s="1"/>
  <c r="C234" i="27447"/>
  <c r="M234"/>
  <c r="M221"/>
  <c r="L228"/>
  <c r="L44"/>
  <c r="J222"/>
  <c r="L222"/>
  <c r="G205" i="27448"/>
  <c r="M74" i="27444"/>
  <c r="I114" i="27448" s="1"/>
  <c r="G114" s="1"/>
  <c r="D256"/>
  <c r="G92" i="27438"/>
  <c r="G862" i="27446"/>
  <c r="C80" i="27459"/>
  <c r="C57" s="1"/>
  <c r="M229" i="27447"/>
  <c r="C227"/>
  <c r="L229"/>
  <c r="M222"/>
  <c r="C231"/>
  <c r="M227"/>
  <c r="M231"/>
  <c r="E550" i="27436"/>
  <c r="C550" s="1"/>
  <c r="C75" i="27446"/>
  <c r="F35"/>
  <c r="F523" i="27436"/>
  <c r="F621" i="27448"/>
  <c r="C110" i="27446"/>
  <c r="F97"/>
  <c r="C65"/>
  <c r="F37"/>
  <c r="O13" i="27452"/>
  <c r="E49" i="27453" s="1"/>
  <c r="E21" i="27448"/>
  <c r="C552" i="27436"/>
  <c r="I82" i="27452" s="1"/>
  <c r="F25" i="27446"/>
  <c r="C574" i="27436"/>
  <c r="J94" i="27452" s="1"/>
  <c r="C500" i="27436"/>
  <c r="H84" i="27452" s="1"/>
  <c r="C297" i="27436"/>
  <c r="F54" i="27446"/>
  <c r="F38"/>
  <c r="F406" i="27436"/>
  <c r="G36" i="27452" s="1"/>
  <c r="D664" i="27436"/>
  <c r="C664" s="1"/>
  <c r="J10" i="27452"/>
  <c r="J34"/>
  <c r="C564" i="27436"/>
  <c r="J79" i="27452" s="1"/>
  <c r="J54"/>
  <c r="G54"/>
  <c r="G53"/>
  <c r="C398" i="27436"/>
  <c r="G78" i="27452" s="1"/>
  <c r="C321" i="27436"/>
  <c r="E95" i="27452" s="1"/>
  <c r="E69"/>
  <c r="E68"/>
  <c r="E58"/>
  <c r="C315" i="27436"/>
  <c r="E83" i="27452" s="1"/>
  <c r="E54"/>
  <c r="C144" i="27436"/>
  <c r="B92" i="27452" s="1"/>
  <c r="B66"/>
  <c r="B55"/>
  <c r="H13" i="27448"/>
  <c r="H218" i="27436"/>
  <c r="F218" s="1"/>
  <c r="F241"/>
  <c r="J71" i="27452"/>
  <c r="C576" i="27436"/>
  <c r="J97" i="27452" s="1"/>
  <c r="J57"/>
  <c r="C567" i="27436"/>
  <c r="J82" i="27452" s="1"/>
  <c r="C404" i="27436"/>
  <c r="G84" i="27452" s="1"/>
  <c r="G59"/>
  <c r="O59" s="1"/>
  <c r="C313" i="27436"/>
  <c r="E81" i="27452" s="1"/>
  <c r="E56"/>
  <c r="D54"/>
  <c r="C159" i="27436"/>
  <c r="H625" i="27448"/>
  <c r="I621"/>
  <c r="F71"/>
  <c r="F79" i="27446"/>
  <c r="I54" i="27448"/>
  <c r="H52"/>
  <c r="E51"/>
  <c r="E46"/>
  <c r="H44"/>
  <c r="E42"/>
  <c r="E29"/>
  <c r="H22"/>
  <c r="G22" s="1"/>
  <c r="E13"/>
  <c r="E12"/>
  <c r="G550" i="27436"/>
  <c r="F550" s="1"/>
  <c r="I21" i="27452"/>
  <c r="F554" i="27436"/>
  <c r="I46" i="27452"/>
  <c r="H6"/>
  <c r="F496" i="27436"/>
  <c r="H30" i="27452" s="1"/>
  <c r="G10"/>
  <c r="F404" i="27436"/>
  <c r="G34" i="27452" s="1"/>
  <c r="G6"/>
  <c r="O11"/>
  <c r="E46" i="27453" s="1"/>
  <c r="E52"/>
  <c r="F86" i="27446"/>
  <c r="D52" i="27453"/>
  <c r="C113" i="27446"/>
  <c r="M62" i="27444"/>
  <c r="F159" i="27436"/>
  <c r="L60" i="27444"/>
  <c r="L47"/>
  <c r="G26"/>
  <c r="M60"/>
  <c r="M56"/>
  <c r="M48"/>
  <c r="L48"/>
  <c r="C57" i="27455"/>
  <c r="E115" i="27458"/>
  <c r="E85" i="27457"/>
  <c r="C85"/>
  <c r="C61"/>
  <c r="C48"/>
  <c r="C45" i="27459"/>
  <c r="C54" i="27456"/>
  <c r="I26" i="27444"/>
  <c r="C258"/>
  <c r="M45"/>
  <c r="M240"/>
  <c r="H637" i="27436" s="1"/>
  <c r="H636" s="1"/>
  <c r="C244" i="27444"/>
  <c r="M218"/>
  <c r="H578" i="27436" s="1"/>
  <c r="L220" i="27444"/>
  <c r="C85" i="27455"/>
  <c r="E55"/>
  <c r="E25"/>
  <c r="E61" i="27457"/>
  <c r="C56" i="27458"/>
  <c r="C48"/>
  <c r="C27"/>
  <c r="E81" i="27459"/>
  <c r="E55"/>
  <c r="C82" i="27456"/>
  <c r="C132" i="27455"/>
  <c r="E132"/>
  <c r="C26" i="27456"/>
  <c r="M57" i="27444"/>
  <c r="E65" i="27457"/>
  <c r="E26" i="27459"/>
  <c r="E40" s="1"/>
  <c r="E161" s="1"/>
  <c r="M168" i="27444"/>
  <c r="M129"/>
  <c r="I200" i="27448" s="1"/>
  <c r="M64" i="27444"/>
  <c r="F595" i="27436"/>
  <c r="B244" i="27444"/>
  <c r="B259" s="1"/>
  <c r="L115"/>
  <c r="M165"/>
  <c r="L157"/>
  <c r="L129"/>
  <c r="M113"/>
  <c r="I146" i="27448" s="1"/>
  <c r="G146" s="1"/>
  <c r="M111" i="27444"/>
  <c r="H214" i="27436" s="1"/>
  <c r="F214" s="1"/>
  <c r="L70" i="27444"/>
  <c r="E149" i="27436" s="1"/>
  <c r="C149" s="1"/>
  <c r="M61" i="27444"/>
  <c r="L62"/>
  <c r="M59"/>
  <c r="L59"/>
  <c r="L58"/>
  <c r="L49"/>
  <c r="L27"/>
  <c r="E95" i="27436" s="1"/>
  <c r="E64" i="27456"/>
  <c r="E59"/>
  <c r="C52" i="27457"/>
  <c r="C26" i="27459"/>
  <c r="C40" s="1"/>
  <c r="C161" s="1"/>
  <c r="C95" i="27456"/>
  <c r="H216" i="27436"/>
  <c r="F216" s="1"/>
  <c r="I43" i="27444"/>
  <c r="C259"/>
  <c r="F52" i="27453"/>
  <c r="C44" i="27459"/>
  <c r="C69" i="27458"/>
  <c r="C95" i="27459"/>
  <c r="E102" i="27457"/>
  <c r="B91" i="27452"/>
  <c r="O91" s="1"/>
  <c r="G576" i="27448"/>
  <c r="D195"/>
  <c r="E56" i="27456"/>
  <c r="E116"/>
  <c r="C47" i="27459"/>
  <c r="D42" i="27458"/>
  <c r="D162" s="1"/>
  <c r="C58" i="27459"/>
  <c r="E634" i="27436"/>
  <c r="C634" s="1"/>
  <c r="H73" i="27446"/>
  <c r="F73" s="1"/>
  <c r="F81" i="27436"/>
  <c r="H45" i="27446"/>
  <c r="I37" i="27448" s="1"/>
  <c r="F53" i="27436"/>
  <c r="F20"/>
  <c r="H14" i="27446"/>
  <c r="I14" i="27448" s="1"/>
  <c r="E350" i="27436"/>
  <c r="C350" s="1"/>
  <c r="H631"/>
  <c r="F631" s="1"/>
  <c r="L45" i="27452" s="1"/>
  <c r="E130" i="27459"/>
  <c r="E122" i="27455"/>
  <c r="C130" i="27459"/>
  <c r="C87" i="27457"/>
  <c r="C127" i="27455"/>
  <c r="E63"/>
  <c r="E58"/>
  <c r="C45"/>
  <c r="E88" i="27457"/>
  <c r="E96"/>
  <c r="E70"/>
  <c r="C122" i="27455"/>
  <c r="E114"/>
  <c r="E102" s="1"/>
  <c r="C114"/>
  <c r="C103"/>
  <c r="E92"/>
  <c r="E85"/>
  <c r="E67"/>
  <c r="C55"/>
  <c r="C44"/>
  <c r="C102" i="27457"/>
  <c r="E82" i="27446"/>
  <c r="C82" s="1"/>
  <c r="C90" i="27436"/>
  <c r="E46" i="27455"/>
  <c r="I634" i="27448"/>
  <c r="I633" s="1"/>
  <c r="H349" i="27436"/>
  <c r="H320" s="1"/>
  <c r="E52" i="27455"/>
  <c r="F78" i="27446"/>
  <c r="C116" i="27456"/>
  <c r="C97" i="27458"/>
  <c r="E623" i="27448"/>
  <c r="C902" i="27446"/>
  <c r="H622" i="27448"/>
  <c r="F901" i="27446"/>
  <c r="H77" i="27448"/>
  <c r="H55"/>
  <c r="F76" i="27446"/>
  <c r="E53" i="27448"/>
  <c r="C69" i="27446"/>
  <c r="E50" i="27448"/>
  <c r="C66" i="27446"/>
  <c r="H41" i="27448"/>
  <c r="E41"/>
  <c r="E40"/>
  <c r="E38"/>
  <c r="D38" s="1"/>
  <c r="E37"/>
  <c r="F44" i="27446"/>
  <c r="E22" i="27448"/>
  <c r="F21"/>
  <c r="D21" s="1"/>
  <c r="H17"/>
  <c r="F59" i="27436"/>
  <c r="H12" i="27448"/>
  <c r="F381" i="27436"/>
  <c r="E17" i="27448"/>
  <c r="H38"/>
  <c r="E45"/>
  <c r="E47"/>
  <c r="H51"/>
  <c r="H53"/>
  <c r="H56"/>
  <c r="I76"/>
  <c r="C58" i="27446"/>
  <c r="F26"/>
  <c r="C40"/>
  <c r="F62"/>
  <c r="C68"/>
  <c r="C93"/>
  <c r="F39"/>
  <c r="C33"/>
  <c r="F81"/>
  <c r="C97"/>
  <c r="H19" i="27448"/>
  <c r="G19" s="1"/>
  <c r="D7" i="27453"/>
  <c r="F7" s="1"/>
  <c r="F113" i="27446"/>
  <c r="F99"/>
  <c r="C60"/>
  <c r="C54"/>
  <c r="F904"/>
  <c r="F103"/>
  <c r="F70"/>
  <c r="F49"/>
  <c r="C37"/>
  <c r="E69" i="27458"/>
  <c r="C62" i="27459"/>
  <c r="C134" i="27458"/>
  <c r="C115"/>
  <c r="G33" i="27454"/>
  <c r="G25"/>
  <c r="C140" i="27459"/>
  <c r="C121"/>
  <c r="E47" i="27458"/>
  <c r="C105"/>
  <c r="E50"/>
  <c r="C55" i="27457"/>
  <c r="M209" i="27444"/>
  <c r="C95" i="27446"/>
  <c r="C63"/>
  <c r="F107"/>
  <c r="F93"/>
  <c r="F55"/>
  <c r="F68"/>
  <c r="F67"/>
  <c r="F69"/>
  <c r="L26" i="27444"/>
  <c r="J5" i="27452"/>
  <c r="F575" i="27436"/>
  <c r="J45" i="27452" s="1"/>
  <c r="G21"/>
  <c r="F398" i="27436"/>
  <c r="G28" i="27452" s="1"/>
  <c r="E45" i="27459"/>
  <c r="E49" i="27457"/>
  <c r="C131"/>
  <c r="C357" i="27436"/>
  <c r="F88" i="27452" s="1"/>
  <c r="O88" s="1"/>
  <c r="C67" i="27455"/>
  <c r="M73" i="27452"/>
  <c r="K23"/>
  <c r="I23"/>
  <c r="F23"/>
  <c r="C47" i="27446"/>
  <c r="D26" i="27448"/>
  <c r="F38" i="27452"/>
  <c r="O38" s="1"/>
  <c r="F357" i="27436"/>
  <c r="C89" i="27456"/>
  <c r="C64"/>
  <c r="G351" i="27436"/>
  <c r="G133"/>
  <c r="G83" i="27446"/>
  <c r="E9" i="27453"/>
  <c r="E8" s="1"/>
  <c r="E121" i="27459"/>
  <c r="H288" i="27436"/>
  <c r="F288" s="1"/>
  <c r="H667"/>
  <c r="H913" i="27446"/>
  <c r="C48" i="27456"/>
  <c r="C59"/>
  <c r="E112" i="27457"/>
  <c r="E134" i="27458"/>
  <c r="L238" i="27444"/>
  <c r="C26" i="27457"/>
  <c r="C44" s="1"/>
  <c r="C150" s="1"/>
  <c r="E56" i="27458"/>
  <c r="C47" i="27456"/>
  <c r="C88" i="27459"/>
  <c r="D144" i="27455"/>
  <c r="D151"/>
  <c r="D150" s="1"/>
  <c r="D153" s="1"/>
  <c r="E26" i="27444"/>
  <c r="M47"/>
  <c r="E83" i="27457"/>
  <c r="F697" i="27446"/>
  <c r="D862"/>
  <c r="C842"/>
  <c r="F874"/>
  <c r="H862"/>
  <c r="E151"/>
  <c r="C152"/>
  <c r="C874"/>
  <c r="D146" i="27448"/>
  <c r="F520" i="27446"/>
  <c r="C633"/>
  <c r="C891"/>
  <c r="D117" i="27448"/>
  <c r="D56"/>
  <c r="F74" i="27446"/>
  <c r="D254" i="27448"/>
  <c r="D101"/>
  <c r="G109"/>
  <c r="G41"/>
  <c r="D143"/>
  <c r="H143"/>
  <c r="D97"/>
  <c r="H573"/>
  <c r="G573"/>
  <c r="G536"/>
  <c r="C67" i="27446"/>
  <c r="F862"/>
  <c r="F169"/>
  <c r="F816"/>
  <c r="C815"/>
  <c r="F811"/>
  <c r="F810"/>
  <c r="C433"/>
  <c r="D257" i="27448"/>
  <c r="D255"/>
  <c r="D127"/>
  <c r="G106"/>
  <c r="D125"/>
  <c r="H616" i="27446"/>
  <c r="F616"/>
  <c r="E616"/>
  <c r="C616"/>
  <c r="G555"/>
  <c r="F555"/>
  <c r="C151"/>
  <c r="C805"/>
  <c r="F864"/>
  <c r="C863"/>
  <c r="F808"/>
  <c r="C808"/>
  <c r="F807"/>
  <c r="C807"/>
  <c r="F806"/>
  <c r="C109"/>
  <c r="C108"/>
  <c r="C102"/>
  <c r="C101"/>
  <c r="C89"/>
  <c r="F398"/>
  <c r="E862"/>
  <c r="C862"/>
  <c r="C685"/>
  <c r="C689"/>
  <c r="C695"/>
  <c r="F682"/>
  <c r="F686"/>
  <c r="C508"/>
  <c r="C510"/>
  <c r="C133"/>
  <c r="C515"/>
  <c r="F125"/>
  <c r="F694"/>
  <c r="C690"/>
  <c r="F819"/>
  <c r="F519"/>
  <c r="C492"/>
  <c r="E476"/>
  <c r="C476"/>
  <c r="C485"/>
  <c r="C436"/>
  <c r="C437"/>
  <c r="F434"/>
  <c r="F436"/>
  <c r="F438"/>
  <c r="F440"/>
  <c r="F441"/>
  <c r="F504"/>
  <c r="E347"/>
  <c r="C347"/>
  <c r="G107" i="27448"/>
  <c r="E580"/>
  <c r="D580"/>
  <c r="G537"/>
  <c r="H453"/>
  <c r="G453" s="1"/>
  <c r="H361"/>
  <c r="G361" s="1"/>
  <c r="H373"/>
  <c r="G373" s="1"/>
  <c r="H266"/>
  <c r="G266" s="1"/>
  <c r="E261"/>
  <c r="D261" s="1"/>
  <c r="G84"/>
  <c r="C104" i="27446"/>
  <c r="D83"/>
  <c r="D36" i="27448"/>
  <c r="D31"/>
  <c r="G102"/>
  <c r="D107"/>
  <c r="D174"/>
  <c r="D121"/>
  <c r="C61" i="27446"/>
  <c r="H104" i="27448"/>
  <c r="G104" s="1"/>
  <c r="H99"/>
  <c r="G99" s="1"/>
  <c r="F128" i="27446"/>
  <c r="C125"/>
  <c r="C122"/>
  <c r="E889"/>
  <c r="D234" i="27448"/>
  <c r="E232"/>
  <c r="D232" s="1"/>
  <c r="E215"/>
  <c r="D215" s="1"/>
  <c r="D233"/>
  <c r="E214"/>
  <c r="D214" s="1"/>
  <c r="D231"/>
  <c r="E218"/>
  <c r="D218"/>
  <c r="D230"/>
  <c r="E217"/>
  <c r="D217" s="1"/>
  <c r="D229"/>
  <c r="E216"/>
  <c r="D216" s="1"/>
  <c r="D228"/>
  <c r="E213"/>
  <c r="D213" s="1"/>
  <c r="D227"/>
  <c r="E212"/>
  <c r="D212"/>
  <c r="D226"/>
  <c r="E211"/>
  <c r="D211" s="1"/>
  <c r="D225"/>
  <c r="E210"/>
  <c r="D210" s="1"/>
  <c r="D224"/>
  <c r="E209"/>
  <c r="D209" s="1"/>
  <c r="D223"/>
  <c r="E208"/>
  <c r="D208"/>
  <c r="D17"/>
  <c r="F560" i="27446"/>
  <c r="F29"/>
  <c r="F59"/>
  <c r="F98"/>
  <c r="C900"/>
  <c r="C22"/>
  <c r="H26" i="27448"/>
  <c r="F14" i="27446"/>
  <c r="C99"/>
  <c r="F40"/>
  <c r="F66"/>
  <c r="G188" i="27448"/>
  <c r="E116"/>
  <c r="C34" i="27446"/>
  <c r="E258" i="27448"/>
  <c r="D258" s="1"/>
  <c r="E99"/>
  <c r="D99" s="1"/>
  <c r="D776" i="27446"/>
  <c r="C776"/>
  <c r="D520"/>
  <c r="C520"/>
  <c r="G250"/>
  <c r="F250"/>
  <c r="H271" i="27448"/>
  <c r="H258" s="1"/>
  <c r="G258" s="1"/>
  <c r="D555" i="27446"/>
  <c r="C555"/>
  <c r="D507"/>
  <c r="C507"/>
  <c r="G507"/>
  <c r="F507"/>
  <c r="H260" i="27448"/>
  <c r="G260" s="1"/>
  <c r="D632" i="27446"/>
  <c r="C632"/>
  <c r="G360" i="27448"/>
  <c r="H388"/>
  <c r="G388" s="1"/>
  <c r="G696" i="27446"/>
  <c r="F696"/>
  <c r="E560" i="27448"/>
  <c r="D236"/>
  <c r="C697" i="27446"/>
  <c r="E100" i="27448"/>
  <c r="D100"/>
  <c r="E108"/>
  <c r="D108"/>
  <c r="E372"/>
  <c r="D372"/>
  <c r="D128"/>
  <c r="E363"/>
  <c r="D363" s="1"/>
  <c r="E370"/>
  <c r="D370" s="1"/>
  <c r="G125"/>
  <c r="E262"/>
  <c r="D262"/>
  <c r="E360"/>
  <c r="E109"/>
  <c r="D109" s="1"/>
  <c r="E562"/>
  <c r="D562" s="1"/>
  <c r="G246"/>
  <c r="E464"/>
  <c r="D464"/>
  <c r="G805" i="27446"/>
  <c r="F805"/>
  <c r="H261" i="27448"/>
  <c r="G261"/>
  <c r="H262"/>
  <c r="G262"/>
  <c r="H367"/>
  <c r="G367"/>
  <c r="H402"/>
  <c r="G402"/>
  <c r="H458"/>
  <c r="G458"/>
  <c r="H462"/>
  <c r="G462"/>
  <c r="H89"/>
  <c r="G89"/>
  <c r="H265"/>
  <c r="G265"/>
  <c r="F352" i="27446"/>
  <c r="F116" i="27448"/>
  <c r="E364"/>
  <c r="D364"/>
  <c r="H368"/>
  <c r="G368"/>
  <c r="H108"/>
  <c r="E462"/>
  <c r="D462"/>
  <c r="E456"/>
  <c r="D456"/>
  <c r="H433" i="27446"/>
  <c r="F433"/>
  <c r="H323" i="27448"/>
  <c r="G323"/>
  <c r="H504"/>
  <c r="G504"/>
  <c r="H507"/>
  <c r="G507"/>
  <c r="E418"/>
  <c r="D418"/>
  <c r="E369"/>
  <c r="D369"/>
  <c r="E422"/>
  <c r="D422"/>
  <c r="D122"/>
  <c r="E420"/>
  <c r="D420" s="1"/>
  <c r="D536"/>
  <c r="G144"/>
  <c r="E841" i="27446"/>
  <c r="C841"/>
  <c r="C819"/>
  <c r="H776"/>
  <c r="F776"/>
  <c r="C17"/>
  <c r="C246"/>
  <c r="C518"/>
  <c r="G863"/>
  <c r="F863"/>
  <c r="H841"/>
  <c r="F841"/>
  <c r="C23"/>
  <c r="F509"/>
  <c r="C209"/>
  <c r="C244"/>
  <c r="G235" i="27448"/>
  <c r="G191"/>
  <c r="H95"/>
  <c r="E559"/>
  <c r="D559" s="1"/>
  <c r="D560"/>
  <c r="G889" i="27446"/>
  <c r="E359" i="27448"/>
  <c r="D359"/>
  <c r="D360"/>
  <c r="G271"/>
  <c r="H889" i="27446"/>
  <c r="E95" i="27448"/>
  <c r="D889" i="27446"/>
  <c r="F889"/>
  <c r="D896"/>
  <c r="C889"/>
  <c r="G896"/>
  <c r="H70" i="27448"/>
  <c r="E62" i="27459"/>
  <c r="E6" i="27456"/>
  <c r="E43" i="27455"/>
  <c r="L168" i="27444"/>
  <c r="D28" i="27448"/>
  <c r="K73" i="27452"/>
  <c r="H55"/>
  <c r="H73" s="1"/>
  <c r="C397" i="27436"/>
  <c r="F60" i="27452"/>
  <c r="C130" i="27456"/>
  <c r="L240" i="27444"/>
  <c r="E637" i="27436" s="1"/>
  <c r="E636" s="1"/>
  <c r="C125" i="27457"/>
  <c r="L198" i="27444"/>
  <c r="E386" i="27436" s="1"/>
  <c r="C386" s="1"/>
  <c r="C122" i="27457"/>
  <c r="L195" i="27444"/>
  <c r="L182"/>
  <c r="C112" i="27457"/>
  <c r="L189" i="27444"/>
  <c r="E378" i="27436" s="1"/>
  <c r="C60" i="27457"/>
  <c r="C70"/>
  <c r="L86" i="27444"/>
  <c r="D65"/>
  <c r="L107"/>
  <c r="E185" i="27436" s="1"/>
  <c r="C143" i="27458"/>
  <c r="O10" i="27452" l="1"/>
  <c r="E45" i="27453" s="1"/>
  <c r="E61" i="27441"/>
  <c r="G81"/>
  <c r="E56"/>
  <c r="G80"/>
  <c r="G48" i="27454"/>
  <c r="C112" i="27459"/>
  <c r="E257" i="27436"/>
  <c r="I51" i="27461"/>
  <c r="C63" i="27450"/>
  <c r="L223" i="27444"/>
  <c r="G69" i="27452"/>
  <c r="O69" s="1"/>
  <c r="C189" i="27436"/>
  <c r="G54" i="27441"/>
  <c r="G68" s="1"/>
  <c r="M74" i="27450"/>
  <c r="F52" i="27446"/>
  <c r="G61" i="27438"/>
  <c r="D42" i="27456"/>
  <c r="D152" i="27459"/>
  <c r="D154" s="1"/>
  <c r="E63" i="27458"/>
  <c r="C51" i="27461"/>
  <c r="C8" i="27450"/>
  <c r="C58" i="27461"/>
  <c r="C57" s="1"/>
  <c r="C7" i="27450"/>
  <c r="B46" i="27444"/>
  <c r="C5" i="27450" s="1"/>
  <c r="C6"/>
  <c r="K61" s="1"/>
  <c r="I16" i="27441" s="1"/>
  <c r="E16" s="1"/>
  <c r="G78"/>
  <c r="E78" s="1"/>
  <c r="E64"/>
  <c r="G73"/>
  <c r="E73" s="1"/>
  <c r="E59"/>
  <c r="M78"/>
  <c r="K78" s="1"/>
  <c r="K64"/>
  <c r="M73"/>
  <c r="K73" s="1"/>
  <c r="K59"/>
  <c r="P14"/>
  <c r="M14"/>
  <c r="M77"/>
  <c r="K77" s="1"/>
  <c r="K63"/>
  <c r="G77"/>
  <c r="E77" s="1"/>
  <c r="E63"/>
  <c r="G72"/>
  <c r="E72" s="1"/>
  <c r="E58"/>
  <c r="M72"/>
  <c r="K72" s="1"/>
  <c r="K58"/>
  <c r="G79"/>
  <c r="E65"/>
  <c r="M79"/>
  <c r="K65"/>
  <c r="M74"/>
  <c r="K60"/>
  <c r="G74"/>
  <c r="E60"/>
  <c r="K51" i="27461"/>
  <c r="G63" i="27450"/>
  <c r="K58" i="27461"/>
  <c r="G62" i="27450"/>
  <c r="G61"/>
  <c r="J46" i="27444"/>
  <c r="G60" i="27450" s="1"/>
  <c r="K74"/>
  <c r="I44" i="27441" s="1"/>
  <c r="E44" s="1"/>
  <c r="I58" i="27461"/>
  <c r="I57" s="1"/>
  <c r="H46" i="27444"/>
  <c r="C60" i="27450" s="1"/>
  <c r="C62"/>
  <c r="E51" i="27461"/>
  <c r="G8" i="27450"/>
  <c r="L51" i="27444"/>
  <c r="D46"/>
  <c r="G5" i="27450" s="1"/>
  <c r="G29"/>
  <c r="K84" s="1"/>
  <c r="I54" i="27441" s="1"/>
  <c r="I68" s="1"/>
  <c r="F162" i="27436"/>
  <c r="H145"/>
  <c r="H165"/>
  <c r="F165" s="1"/>
  <c r="E145"/>
  <c r="C145" s="1"/>
  <c r="B94" i="27452" s="1"/>
  <c r="E165" i="27436"/>
  <c r="C165" s="1"/>
  <c r="E29" i="27450"/>
  <c r="E14"/>
  <c r="M69" s="1"/>
  <c r="O35" i="27441" s="1"/>
  <c r="K35" s="1"/>
  <c r="H318" i="27436"/>
  <c r="F318" s="1"/>
  <c r="E36" i="27452" s="1"/>
  <c r="I7" i="27461"/>
  <c r="C344" i="27436"/>
  <c r="E318"/>
  <c r="D58" i="27461"/>
  <c r="E7" i="27450"/>
  <c r="D51" i="27461"/>
  <c r="E8" i="27450"/>
  <c r="C46" i="27444"/>
  <c r="E5" i="27450" s="1"/>
  <c r="E6"/>
  <c r="F53" i="27446"/>
  <c r="J58" i="27461"/>
  <c r="E62" i="27450"/>
  <c r="J51" i="27461"/>
  <c r="E63" i="27450"/>
  <c r="E61"/>
  <c r="I46" i="27444"/>
  <c r="E60" i="27450" s="1"/>
  <c r="H58" i="27461"/>
  <c r="M7" i="27450"/>
  <c r="H51" i="27461"/>
  <c r="M29" i="27450"/>
  <c r="M8"/>
  <c r="M6"/>
  <c r="G46" i="27444"/>
  <c r="M5" i="27450" s="1"/>
  <c r="L58" i="27461"/>
  <c r="I62" i="27450"/>
  <c r="L51" i="27461"/>
  <c r="I63" i="27450"/>
  <c r="I61"/>
  <c r="K46" i="27444"/>
  <c r="I60" i="27450" s="1"/>
  <c r="F58" i="27461"/>
  <c r="I7" i="27450"/>
  <c r="F51" i="27461"/>
  <c r="I8" i="27450"/>
  <c r="I6"/>
  <c r="E46" i="27444"/>
  <c r="I5" i="27450" s="1"/>
  <c r="G397" i="27436"/>
  <c r="F397" s="1"/>
  <c r="F47" i="27446"/>
  <c r="E57" i="27445"/>
  <c r="P32"/>
  <c r="H585" i="27436"/>
  <c r="H581"/>
  <c r="F581" s="1"/>
  <c r="E585"/>
  <c r="E581"/>
  <c r="C581" s="1"/>
  <c r="M223" i="27444"/>
  <c r="H125" i="27436"/>
  <c r="F125" s="1"/>
  <c r="E31" i="27453" s="1"/>
  <c r="E30" s="1"/>
  <c r="E125" i="27436"/>
  <c r="C125" s="1"/>
  <c r="D258" i="27444"/>
  <c r="D257" s="1"/>
  <c r="D246"/>
  <c r="H258"/>
  <c r="H257" s="1"/>
  <c r="H246"/>
  <c r="B257"/>
  <c r="B246"/>
  <c r="F246"/>
  <c r="E258"/>
  <c r="E257" s="1"/>
  <c r="E246"/>
  <c r="G258"/>
  <c r="G257" s="1"/>
  <c r="G246"/>
  <c r="I258"/>
  <c r="I257" s="1"/>
  <c r="I246"/>
  <c r="K258"/>
  <c r="K246"/>
  <c r="C257"/>
  <c r="C246"/>
  <c r="E101" i="27459"/>
  <c r="F527" i="27436"/>
  <c r="H506"/>
  <c r="F506" s="1"/>
  <c r="H45" i="27452" s="1"/>
  <c r="E498" i="27436"/>
  <c r="C498" s="1"/>
  <c r="H82" i="27452" s="1"/>
  <c r="C521" i="27436"/>
  <c r="F521"/>
  <c r="H498"/>
  <c r="F498" s="1"/>
  <c r="H32" i="27452" s="1"/>
  <c r="G50" i="27461"/>
  <c r="K50"/>
  <c r="C50"/>
  <c r="D50"/>
  <c r="E50"/>
  <c r="F50"/>
  <c r="H50"/>
  <c r="I50"/>
  <c r="J50"/>
  <c r="L50"/>
  <c r="H311" i="27436"/>
  <c r="F311" s="1"/>
  <c r="E29" i="27452" s="1"/>
  <c r="F326" i="27436"/>
  <c r="F324"/>
  <c r="H310"/>
  <c r="F310" s="1"/>
  <c r="E28" i="27452" s="1"/>
  <c r="H323" i="27436"/>
  <c r="F323" s="1"/>
  <c r="C650"/>
  <c r="E901" i="27446"/>
  <c r="E311" i="27436"/>
  <c r="C311" s="1"/>
  <c r="E79" i="27452" s="1"/>
  <c r="C326" i="27436"/>
  <c r="E323"/>
  <c r="C323" s="1"/>
  <c r="E310"/>
  <c r="C310" s="1"/>
  <c r="E78" i="27452" s="1"/>
  <c r="C324" i="27436"/>
  <c r="C58" i="27458"/>
  <c r="E905" i="27446"/>
  <c r="F626" i="27448" s="1"/>
  <c r="D626" s="1"/>
  <c r="C654" i="27436"/>
  <c r="C613"/>
  <c r="E566"/>
  <c r="C566" s="1"/>
  <c r="J81" i="27452" s="1"/>
  <c r="E603" i="27436"/>
  <c r="C603" s="1"/>
  <c r="H322"/>
  <c r="F322" s="1"/>
  <c r="E46" i="27452" s="1"/>
  <c r="F345" i="27436"/>
  <c r="F100"/>
  <c r="H92" i="27446"/>
  <c r="F92" s="1"/>
  <c r="F93" i="27436"/>
  <c r="H85" i="27446"/>
  <c r="F85" s="1"/>
  <c r="E14"/>
  <c r="C20" i="27436"/>
  <c r="H905" i="27446"/>
  <c r="I626" i="27448" s="1"/>
  <c r="G626" s="1"/>
  <c r="F654" i="27436"/>
  <c r="G23" i="27438" s="1"/>
  <c r="F25" s="1"/>
  <c r="F28" s="1"/>
  <c r="F78" i="27453"/>
  <c r="D78" s="1"/>
  <c r="D77" s="1"/>
  <c r="D71" s="1"/>
  <c r="F613" i="27436"/>
  <c r="H566"/>
  <c r="F566" s="1"/>
  <c r="J31" i="27452" s="1"/>
  <c r="H603" i="27436"/>
  <c r="F603" s="1"/>
  <c r="H354"/>
  <c r="F354" s="1"/>
  <c r="F388"/>
  <c r="H90" i="27446"/>
  <c r="F90" s="1"/>
  <c r="F98" i="27436"/>
  <c r="E85" i="27446"/>
  <c r="C85" s="1"/>
  <c r="C93" i="27436"/>
  <c r="M238" i="27444"/>
  <c r="H242" i="27436"/>
  <c r="F242" s="1"/>
  <c r="X7" i="27451"/>
  <c r="M18" i="27441" s="1"/>
  <c r="K18" s="1"/>
  <c r="X9" i="27451"/>
  <c r="H513" i="27436"/>
  <c r="H508"/>
  <c r="F508" s="1"/>
  <c r="E513"/>
  <c r="E508"/>
  <c r="C508" s="1"/>
  <c r="F77" i="27453"/>
  <c r="F71" s="1"/>
  <c r="F61" i="27448"/>
  <c r="D61" s="1"/>
  <c r="E73" i="27452"/>
  <c r="F297" i="27436"/>
  <c r="G302"/>
  <c r="M54" i="27441" s="1"/>
  <c r="D351" i="27436"/>
  <c r="F306"/>
  <c r="G259"/>
  <c r="C292"/>
  <c r="E286"/>
  <c r="H285"/>
  <c r="H284"/>
  <c r="F284" s="1"/>
  <c r="F292"/>
  <c r="H286"/>
  <c r="E272"/>
  <c r="C272" s="1"/>
  <c r="H272"/>
  <c r="F272" s="1"/>
  <c r="O57" i="27452"/>
  <c r="C575" i="27436"/>
  <c r="J95" i="27452" s="1"/>
  <c r="C399" i="27436"/>
  <c r="G79" i="27452" s="1"/>
  <c r="C401" i="27436"/>
  <c r="G81" i="27452" s="1"/>
  <c r="F400" i="27436"/>
  <c r="G30" i="27452" s="1"/>
  <c r="F409" i="27436"/>
  <c r="G46" i="27452" s="1"/>
  <c r="F173" i="27436"/>
  <c r="H169"/>
  <c r="F186"/>
  <c r="H171"/>
  <c r="H170"/>
  <c r="C178"/>
  <c r="E170"/>
  <c r="F187"/>
  <c r="H172"/>
  <c r="C187"/>
  <c r="E172"/>
  <c r="E169"/>
  <c r="C160"/>
  <c r="E156"/>
  <c r="F160"/>
  <c r="H156"/>
  <c r="F158"/>
  <c r="H155"/>
  <c r="C158"/>
  <c r="E155"/>
  <c r="C163"/>
  <c r="E157"/>
  <c r="C154"/>
  <c r="E153"/>
  <c r="C153" s="1"/>
  <c r="H153"/>
  <c r="F153" s="1"/>
  <c r="C595"/>
  <c r="E571"/>
  <c r="C571" s="1"/>
  <c r="J86" i="27452" s="1"/>
  <c r="C122" i="27436"/>
  <c r="E114" i="27446"/>
  <c r="F87" i="27448" s="1"/>
  <c r="D87" s="1"/>
  <c r="C25" i="27461"/>
  <c r="C6" s="1"/>
  <c r="C19" i="27436"/>
  <c r="E13" i="27446"/>
  <c r="C13" s="1"/>
  <c r="C129" i="27456"/>
  <c r="C6"/>
  <c r="C42" s="1"/>
  <c r="C146" s="1"/>
  <c r="K7" i="27461"/>
  <c r="G73" i="27438"/>
  <c r="M57" i="27445"/>
  <c r="I57"/>
  <c r="F57"/>
  <c r="E354" i="27436"/>
  <c r="C354" s="1"/>
  <c r="C388"/>
  <c r="F84" i="27452" s="1"/>
  <c r="O84" s="1"/>
  <c r="C294" i="27436"/>
  <c r="E261"/>
  <c r="C261" s="1"/>
  <c r="D94" i="27452" s="1"/>
  <c r="L57" i="27444"/>
  <c r="C86" i="27436"/>
  <c r="E78" i="27446"/>
  <c r="F57" i="27448" s="1"/>
  <c r="D57" s="1"/>
  <c r="E73" i="27446"/>
  <c r="C73" s="1"/>
  <c r="C81" i="27436"/>
  <c r="C53"/>
  <c r="E45" i="27446"/>
  <c r="E27"/>
  <c r="C27" s="1"/>
  <c r="C35" i="27436"/>
  <c r="E94" i="27446"/>
  <c r="F77" i="27448" s="1"/>
  <c r="D77" s="1"/>
  <c r="C102" i="27436"/>
  <c r="E76" i="27446"/>
  <c r="F55" i="27448" s="1"/>
  <c r="D55" s="1"/>
  <c r="C84" i="27436"/>
  <c r="E41" i="27446"/>
  <c r="F33" i="27448" s="1"/>
  <c r="D33" s="1"/>
  <c r="C49" i="27436"/>
  <c r="D621" i="27448"/>
  <c r="C107" i="27446"/>
  <c r="C53"/>
  <c r="C52"/>
  <c r="H912"/>
  <c r="M262" i="27444"/>
  <c r="H666" i="27436"/>
  <c r="M49" i="27444"/>
  <c r="D57" i="27461"/>
  <c r="E89" i="27456"/>
  <c r="E82"/>
  <c r="E95" i="27459"/>
  <c r="I143" i="27448"/>
  <c r="G143" s="1"/>
  <c r="E150" i="27458"/>
  <c r="I187" i="27448"/>
  <c r="G187" s="1"/>
  <c r="G200"/>
  <c r="E108" i="27457"/>
  <c r="E107" s="1"/>
  <c r="E50"/>
  <c r="D25" i="27461"/>
  <c r="D6" s="1"/>
  <c r="F21" i="27436"/>
  <c r="H15" i="27446"/>
  <c r="F49" i="27436"/>
  <c r="H41" i="27446"/>
  <c r="I33" i="27448" s="1"/>
  <c r="G33" s="1"/>
  <c r="H13" i="27446"/>
  <c r="F13" s="1"/>
  <c r="F19" i="27436"/>
  <c r="E258"/>
  <c r="C258" s="1"/>
  <c r="D85" i="27452" s="1"/>
  <c r="H319" i="27436"/>
  <c r="F319" s="1"/>
  <c r="E39" i="27452" s="1"/>
  <c r="E319" i="27436"/>
  <c r="C319" s="1"/>
  <c r="E89" i="27452" s="1"/>
  <c r="J73"/>
  <c r="G76" i="27448"/>
  <c r="G625"/>
  <c r="G622"/>
  <c r="G621"/>
  <c r="D84"/>
  <c r="D81"/>
  <c r="G71"/>
  <c r="G70" s="1"/>
  <c r="D71"/>
  <c r="D50"/>
  <c r="G11" i="27446"/>
  <c r="G115" s="1"/>
  <c r="F6" i="27453"/>
  <c r="O14" i="27452"/>
  <c r="E55" i="27453" s="1"/>
  <c r="E51" s="1"/>
  <c r="E23" i="27452"/>
  <c r="O8"/>
  <c r="E43" i="27453" s="1"/>
  <c r="G51" i="27448"/>
  <c r="G52"/>
  <c r="G40"/>
  <c r="F82" i="27446"/>
  <c r="C64"/>
  <c r="F34"/>
  <c r="F17"/>
  <c r="F64"/>
  <c r="F105"/>
  <c r="C62"/>
  <c r="F84"/>
  <c r="C105"/>
  <c r="C78"/>
  <c r="F75"/>
  <c r="H258" i="27436"/>
  <c r="F258" s="1"/>
  <c r="H23" i="27452"/>
  <c r="F294" i="27436"/>
  <c r="F77" i="27446"/>
  <c r="C57"/>
  <c r="F902"/>
  <c r="F58"/>
  <c r="C84"/>
  <c r="C42"/>
  <c r="C24"/>
  <c r="C59"/>
  <c r="F60"/>
  <c r="C98"/>
  <c r="C81"/>
  <c r="F65"/>
  <c r="F42"/>
  <c r="C35"/>
  <c r="F30"/>
  <c r="D47" i="27448"/>
  <c r="F122" i="27436"/>
  <c r="F45" i="27446"/>
  <c r="F900"/>
  <c r="C904"/>
  <c r="C29"/>
  <c r="C39"/>
  <c r="C49"/>
  <c r="C56"/>
  <c r="F56"/>
  <c r="F57"/>
  <c r="D53" i="27448"/>
  <c r="G55"/>
  <c r="F110" i="27446"/>
  <c r="G14" i="27448"/>
  <c r="C652" i="27436"/>
  <c r="E48" i="27446"/>
  <c r="C48" s="1"/>
  <c r="H903"/>
  <c r="H571" i="27436"/>
  <c r="F571" s="1"/>
  <c r="J36" i="27452" s="1"/>
  <c r="G44" i="27448"/>
  <c r="D51"/>
  <c r="G54"/>
  <c r="O66" i="27452"/>
  <c r="E40" i="27441" s="1"/>
  <c r="I99" i="27452"/>
  <c r="C26" i="27446"/>
  <c r="C43"/>
  <c r="C77"/>
  <c r="E92"/>
  <c r="C92" s="1"/>
  <c r="F51"/>
  <c r="C32"/>
  <c r="E83" i="27448"/>
  <c r="D83" s="1"/>
  <c r="F63" i="27446"/>
  <c r="E51"/>
  <c r="D32" i="27448"/>
  <c r="D20"/>
  <c r="D18"/>
  <c r="D309" i="27436"/>
  <c r="C25" i="27446"/>
  <c r="E70" i="27448"/>
  <c r="G38"/>
  <c r="D29"/>
  <c r="D625"/>
  <c r="D22"/>
  <c r="F23" i="27446"/>
  <c r="O58" i="27452"/>
  <c r="O68"/>
  <c r="O56"/>
  <c r="D623" i="27448"/>
  <c r="D82"/>
  <c r="D41"/>
  <c r="D252" i="27436"/>
  <c r="O61" i="27452"/>
  <c r="O60"/>
  <c r="D137" i="27456"/>
  <c r="D147" s="1"/>
  <c r="C240" i="27436"/>
  <c r="E218"/>
  <c r="C218" s="1"/>
  <c r="F73" i="27448"/>
  <c r="D73" s="1"/>
  <c r="C90" i="27446"/>
  <c r="K25" i="27461"/>
  <c r="C628" i="27436"/>
  <c r="L82" i="27452"/>
  <c r="C26" i="27436"/>
  <c r="E20" i="27446"/>
  <c r="C20" s="1"/>
  <c r="C6" i="27455"/>
  <c r="C40" s="1"/>
  <c r="C151" s="1"/>
  <c r="G250" i="27448"/>
  <c r="I249"/>
  <c r="D49"/>
  <c r="D30"/>
  <c r="D188"/>
  <c r="E187"/>
  <c r="G256"/>
  <c r="H249"/>
  <c r="H559"/>
  <c r="G559" s="1"/>
  <c r="G561"/>
  <c r="E249"/>
  <c r="D249" s="1"/>
  <c r="D252"/>
  <c r="H241"/>
  <c r="G241" s="1"/>
  <c r="G244"/>
  <c r="D244"/>
  <c r="E241"/>
  <c r="D241" s="1"/>
  <c r="G374"/>
  <c r="F73" i="27452"/>
  <c r="D116" i="27448"/>
  <c r="G56"/>
  <c r="G17"/>
  <c r="D79"/>
  <c r="D43"/>
  <c r="D42"/>
  <c r="F46" i="27446"/>
  <c r="C46"/>
  <c r="D35" i="27448"/>
  <c r="H359" i="27436"/>
  <c r="F359" s="1"/>
  <c r="F44" i="27452" s="1"/>
  <c r="F7" i="27461"/>
  <c r="L7"/>
  <c r="D103" i="27448"/>
  <c r="G359"/>
  <c r="D48"/>
  <c r="D44"/>
  <c r="D27"/>
  <c r="F24" i="27446"/>
  <c r="E88" i="27459"/>
  <c r="C63" i="27458"/>
  <c r="E53"/>
  <c r="C101" i="27459"/>
  <c r="I25" i="27461"/>
  <c r="I6" s="1"/>
  <c r="L4" i="27444"/>
  <c r="C127" i="27458"/>
  <c r="C120" s="1"/>
  <c r="C46"/>
  <c r="G25" i="27461"/>
  <c r="G6" s="1"/>
  <c r="E19" i="27446"/>
  <c r="C19" s="1"/>
  <c r="C25" i="27436"/>
  <c r="L117" i="27444"/>
  <c r="C217" i="27436"/>
  <c r="E216"/>
  <c r="C216" s="1"/>
  <c r="L65" i="27444"/>
  <c r="E61" i="27461"/>
  <c r="E57" s="1"/>
  <c r="D242" i="27444"/>
  <c r="D253" s="1"/>
  <c r="C49" i="27457"/>
  <c r="E25" i="27461"/>
  <c r="E6" s="1"/>
  <c r="E374" i="27436"/>
  <c r="C374" s="1"/>
  <c r="C279"/>
  <c r="C257"/>
  <c r="D82" i="27452" s="1"/>
  <c r="K57" i="27461"/>
  <c r="L64" i="27444"/>
  <c r="K49" i="27461"/>
  <c r="E100" i="27446"/>
  <c r="C100" s="1"/>
  <c r="C108" i="27436"/>
  <c r="E80" i="27446"/>
  <c r="C88" i="27436"/>
  <c r="C18"/>
  <c r="E12" i="27446"/>
  <c r="D656" i="27436"/>
  <c r="D46" i="27448"/>
  <c r="D45"/>
  <c r="D133" i="27436"/>
  <c r="F108"/>
  <c r="H100" i="27446"/>
  <c r="F100" s="1"/>
  <c r="J7" i="27461"/>
  <c r="H620" i="27436"/>
  <c r="F620" s="1"/>
  <c r="F624"/>
  <c r="K44" i="27452" s="1"/>
  <c r="K48" s="1"/>
  <c r="E26" i="27456"/>
  <c r="E42" s="1"/>
  <c r="E146" s="1"/>
  <c r="L25" i="27461"/>
  <c r="H25"/>
  <c r="H6" s="1"/>
  <c r="G43" i="27444"/>
  <c r="F348" i="27436"/>
  <c r="H347"/>
  <c r="F347" s="1"/>
  <c r="G493"/>
  <c r="G53" i="27448"/>
  <c r="G26"/>
  <c r="D162" i="27459"/>
  <c r="D160" s="1"/>
  <c r="D163" s="1"/>
  <c r="C150" i="27458"/>
  <c r="F635" i="27436"/>
  <c r="M37" i="27452" s="1"/>
  <c r="O37" s="1"/>
  <c r="D49" i="27453" s="1"/>
  <c r="F49" s="1"/>
  <c r="H634" i="27436"/>
  <c r="F634" s="1"/>
  <c r="C369"/>
  <c r="E359"/>
  <c r="C359" s="1"/>
  <c r="F94" i="27452" s="1"/>
  <c r="G57" i="27461"/>
  <c r="D562" i="27436"/>
  <c r="C494"/>
  <c r="H78" i="27452" s="1"/>
  <c r="D493" i="27436"/>
  <c r="D55" i="27452"/>
  <c r="F525" i="27436"/>
  <c r="H502"/>
  <c r="F502" s="1"/>
  <c r="H36" i="27452" s="1"/>
  <c r="F344" i="27436"/>
  <c r="H343"/>
  <c r="F343" s="1"/>
  <c r="H31" i="27446"/>
  <c r="F39" i="27436"/>
  <c r="D25" i="27448"/>
  <c r="E11"/>
  <c r="O92" i="27452"/>
  <c r="F61" i="27453"/>
  <c r="O63" i="27452"/>
  <c r="G623" i="27448"/>
  <c r="G82"/>
  <c r="G60"/>
  <c r="G49"/>
  <c r="G47"/>
  <c r="D11" i="27446"/>
  <c r="D115" s="1"/>
  <c r="G34" i="27448"/>
  <c r="G29"/>
  <c r="G23"/>
  <c r="I73" i="27452"/>
  <c r="G81" i="27448"/>
  <c r="G80"/>
  <c r="G50"/>
  <c r="G46"/>
  <c r="G45"/>
  <c r="G43"/>
  <c r="G36"/>
  <c r="G32"/>
  <c r="G31"/>
  <c r="G30"/>
  <c r="F36" i="27446"/>
  <c r="C36"/>
  <c r="F33"/>
  <c r="F578" i="27436"/>
  <c r="H573"/>
  <c r="F573" s="1"/>
  <c r="J43" i="27452" s="1"/>
  <c r="O43" s="1"/>
  <c r="D63" i="27453" s="1"/>
  <c r="F63" s="1"/>
  <c r="H577" i="27436"/>
  <c r="J57" i="27461"/>
  <c r="E121" i="27458"/>
  <c r="H57" i="27461"/>
  <c r="H49" s="1"/>
  <c r="H48" s="1"/>
  <c r="L57"/>
  <c r="F57"/>
  <c r="K43" i="27444"/>
  <c r="K252" s="1"/>
  <c r="J25" i="27461"/>
  <c r="E43" i="27444"/>
  <c r="F25" i="27461"/>
  <c r="M27" i="27444"/>
  <c r="M26" s="1"/>
  <c r="D146" i="27456"/>
  <c r="D145" s="1"/>
  <c r="D148" s="1"/>
  <c r="E109"/>
  <c r="E101" s="1"/>
  <c r="E122"/>
  <c r="L229" i="27444"/>
  <c r="E353" i="27436"/>
  <c r="C353" s="1"/>
  <c r="F83" i="27452" s="1"/>
  <c r="B242" i="27444"/>
  <c r="B253" s="1"/>
  <c r="C43" i="27455"/>
  <c r="C87" i="27458"/>
  <c r="C42"/>
  <c r="C169" s="1"/>
  <c r="C104" i="27436"/>
  <c r="E96" i="27446"/>
  <c r="C96" s="1"/>
  <c r="E50"/>
  <c r="C50" s="1"/>
  <c r="C58" i="27436"/>
  <c r="E30" i="27446"/>
  <c r="C39" i="27436"/>
  <c r="C40"/>
  <c r="E31" i="27446"/>
  <c r="C21" i="27436"/>
  <c r="E15" i="27446"/>
  <c r="F15" i="27448" s="1"/>
  <c r="D15" s="1"/>
  <c r="E16" i="27446"/>
  <c r="C22" i="27436"/>
  <c r="E18" i="27446"/>
  <c r="C18" s="1"/>
  <c r="C24" i="27436"/>
  <c r="C27"/>
  <c r="E21" i="27446"/>
  <c r="C21" s="1"/>
  <c r="E17" i="27436"/>
  <c r="C17" s="1"/>
  <c r="C109" i="27456"/>
  <c r="C101" s="1"/>
  <c r="C527" i="27436"/>
  <c r="E506"/>
  <c r="C506" s="1"/>
  <c r="H95" i="27452" s="1"/>
  <c r="H43" i="27444"/>
  <c r="H252" s="1"/>
  <c r="L209"/>
  <c r="L56"/>
  <c r="C162" i="27436"/>
  <c r="O54" i="27452"/>
  <c r="O6"/>
  <c r="E40" i="27453" s="1"/>
  <c r="E3"/>
  <c r="G48" i="27448"/>
  <c r="G42"/>
  <c r="M258" i="27444"/>
  <c r="H663" i="27436"/>
  <c r="F663" s="1"/>
  <c r="E6" i="27458"/>
  <c r="H146" i="27436"/>
  <c r="F146" s="1"/>
  <c r="B45" i="27452" s="1"/>
  <c r="F184" i="27436"/>
  <c r="E40" i="27455"/>
  <c r="E151" s="1"/>
  <c r="H28" i="27446"/>
  <c r="F35" i="27436"/>
  <c r="E27" i="27458"/>
  <c r="H356" i="27436"/>
  <c r="F356" s="1"/>
  <c r="F36" i="27452" s="1"/>
  <c r="M70" i="27444"/>
  <c r="H149" i="27436" s="1"/>
  <c r="F149" s="1"/>
  <c r="E112" i="27459"/>
  <c r="E44"/>
  <c r="E43" s="1"/>
  <c r="E58"/>
  <c r="H138" i="27436"/>
  <c r="F138" s="1"/>
  <c r="B32" i="27452" s="1"/>
  <c r="F179" i="27436"/>
  <c r="E59" i="27458"/>
  <c r="F163" i="27436"/>
  <c r="P18" i="27445"/>
  <c r="P57"/>
  <c r="C45" i="27456"/>
  <c r="C122"/>
  <c r="C100" i="27459"/>
  <c r="E127" i="27458"/>
  <c r="E87"/>
  <c r="E48"/>
  <c r="C59"/>
  <c r="E131" i="27457"/>
  <c r="E58"/>
  <c r="C96"/>
  <c r="C102" i="27455"/>
  <c r="E146" i="27436"/>
  <c r="C146" s="1"/>
  <c r="B95" i="27452" s="1"/>
  <c r="C184" i="27436"/>
  <c r="C181"/>
  <c r="E141"/>
  <c r="C141" s="1"/>
  <c r="B85" i="27452" s="1"/>
  <c r="F633" i="27436"/>
  <c r="L46" i="27452" s="1"/>
  <c r="H627" i="27436"/>
  <c r="F627" s="1"/>
  <c r="L48" i="27452"/>
  <c r="F528" i="27436"/>
  <c r="H507"/>
  <c r="F507" s="1"/>
  <c r="H46" i="27452" s="1"/>
  <c r="E142" i="27455"/>
  <c r="H353" i="27436"/>
  <c r="F387"/>
  <c r="F373"/>
  <c r="H361"/>
  <c r="F361" s="1"/>
  <c r="F46" i="27452" s="1"/>
  <c r="H363" i="27436"/>
  <c r="F363" s="1"/>
  <c r="F365"/>
  <c r="F283"/>
  <c r="H263"/>
  <c r="F263" s="1"/>
  <c r="D46" i="27452" s="1"/>
  <c r="F174" i="27436"/>
  <c r="H141"/>
  <c r="F141" s="1"/>
  <c r="B35" i="27452" s="1"/>
  <c r="H96" i="27446"/>
  <c r="F104" i="27436"/>
  <c r="C43" i="27444"/>
  <c r="F56" i="27436"/>
  <c r="H48" i="27446"/>
  <c r="F48" s="1"/>
  <c r="H16"/>
  <c r="I16" i="27448" s="1"/>
  <c r="G16" s="1"/>
  <c r="F22" i="27436"/>
  <c r="F18"/>
  <c r="H12" i="27446"/>
  <c r="F88" i="27436"/>
  <c r="D14" i="27453" s="1"/>
  <c r="F14" s="1"/>
  <c r="H80" i="27446"/>
  <c r="F80" s="1"/>
  <c r="H32"/>
  <c r="F40" i="27436"/>
  <c r="H50" i="27446"/>
  <c r="F50" s="1"/>
  <c r="F58" i="27436"/>
  <c r="F24"/>
  <c r="H18" i="27446"/>
  <c r="F18" s="1"/>
  <c r="M4" i="27444"/>
  <c r="I59" i="27448"/>
  <c r="G59" s="1"/>
  <c r="E6" i="27457"/>
  <c r="E44" s="1"/>
  <c r="E150" s="1"/>
  <c r="F27" i="27436"/>
  <c r="H21" i="27446"/>
  <c r="F21" s="1"/>
  <c r="H20"/>
  <c r="F20" s="1"/>
  <c r="F26" i="27436"/>
  <c r="H19" i="27446"/>
  <c r="F19" s="1"/>
  <c r="H17" i="27436"/>
  <c r="F25"/>
  <c r="E2" i="27453"/>
  <c r="F656" i="27436"/>
  <c r="G128"/>
  <c r="G20" i="27448"/>
  <c r="J259" i="27444"/>
  <c r="L259" s="1"/>
  <c r="L244"/>
  <c r="L246" s="1"/>
  <c r="E242" i="27436"/>
  <c r="C242" s="1"/>
  <c r="C243"/>
  <c r="C78" i="27452" s="1"/>
  <c r="C99" s="1"/>
  <c r="E502" i="27436"/>
  <c r="C502" s="1"/>
  <c r="H86" i="27452" s="1"/>
  <c r="C525" i="27436"/>
  <c r="C578"/>
  <c r="E577"/>
  <c r="E573"/>
  <c r="C573" s="1"/>
  <c r="J93" i="27452" s="1"/>
  <c r="C631" i="27436"/>
  <c r="L95" i="27452" s="1"/>
  <c r="E627" i="27436"/>
  <c r="C627" s="1"/>
  <c r="E362"/>
  <c r="C362" s="1"/>
  <c r="F98" i="27452" s="1"/>
  <c r="O98" s="1"/>
  <c r="C379" i="27436"/>
  <c r="C345"/>
  <c r="E343"/>
  <c r="C343" s="1"/>
  <c r="E322"/>
  <c r="C322" s="1"/>
  <c r="E97" i="27452" s="1"/>
  <c r="C295" i="27436"/>
  <c r="E262"/>
  <c r="C262" s="1"/>
  <c r="D95" i="27452" s="1"/>
  <c r="C166" i="27436"/>
  <c r="E134"/>
  <c r="C134" s="1"/>
  <c r="B78" i="27452" s="1"/>
  <c r="C391" i="27436"/>
  <c r="E360"/>
  <c r="C360" s="1"/>
  <c r="F95" i="27452" s="1"/>
  <c r="F242" i="27444"/>
  <c r="F253" s="1"/>
  <c r="C376" i="27436"/>
  <c r="E355"/>
  <c r="C355" s="1"/>
  <c r="F85" i="27452" s="1"/>
  <c r="L63" i="27444"/>
  <c r="C175" i="27436"/>
  <c r="E142"/>
  <c r="C142" s="1"/>
  <c r="B86" i="27452" s="1"/>
  <c r="E137" i="27436"/>
  <c r="C137" s="1"/>
  <c r="B81" i="27452" s="1"/>
  <c r="C173" i="27436"/>
  <c r="E347"/>
  <c r="C347" s="1"/>
  <c r="C348"/>
  <c r="C118" i="27457"/>
  <c r="C107" s="1"/>
  <c r="C378" i="27436"/>
  <c r="C373"/>
  <c r="E361"/>
  <c r="C361" s="1"/>
  <c r="F97" i="27452" s="1"/>
  <c r="C367" i="27436"/>
  <c r="E356"/>
  <c r="C356" s="1"/>
  <c r="F86" i="27452" s="1"/>
  <c r="C364" i="27436"/>
  <c r="E352"/>
  <c r="C352" s="1"/>
  <c r="F82" i="27452" s="1"/>
  <c r="E363" i="27436"/>
  <c r="C363" s="1"/>
  <c r="C281"/>
  <c r="C296"/>
  <c r="C185"/>
  <c r="E148"/>
  <c r="C148" s="1"/>
  <c r="B97" i="27452" s="1"/>
  <c r="C179" i="27436"/>
  <c r="E138"/>
  <c r="C138" s="1"/>
  <c r="B82" i="27452" s="1"/>
  <c r="C168" i="27436"/>
  <c r="E135"/>
  <c r="C135" s="1"/>
  <c r="B79" i="27452" s="1"/>
  <c r="F110" i="27448"/>
  <c r="D110" s="1"/>
  <c r="L113" i="27444"/>
  <c r="C626" i="27436"/>
  <c r="K97" i="27452" s="1"/>
  <c r="K99" s="1"/>
  <c r="E620" i="27436"/>
  <c r="C620" s="1"/>
  <c r="E507"/>
  <c r="C507" s="1"/>
  <c r="H97" i="27452" s="1"/>
  <c r="C528" i="27436"/>
  <c r="E505"/>
  <c r="C526"/>
  <c r="E214"/>
  <c r="C214" s="1"/>
  <c r="C215"/>
  <c r="C58" i="27457"/>
  <c r="E385" i="27436"/>
  <c r="C385" s="1"/>
  <c r="E358"/>
  <c r="C358" s="1"/>
  <c r="F89" i="27452" s="1"/>
  <c r="C394" i="27436"/>
  <c r="C288"/>
  <c r="E259"/>
  <c r="C180"/>
  <c r="E139"/>
  <c r="C139" s="1"/>
  <c r="B83" i="27452" s="1"/>
  <c r="E136" i="27436"/>
  <c r="C136" s="1"/>
  <c r="B80" i="27452" s="1"/>
  <c r="O80" s="1"/>
  <c r="C167" i="27436"/>
  <c r="J43" i="27444"/>
  <c r="F43"/>
  <c r="L258"/>
  <c r="D43"/>
  <c r="B43"/>
  <c r="E87" i="27446"/>
  <c r="E91" i="27436"/>
  <c r="O71" i="27452"/>
  <c r="C55" i="27446"/>
  <c r="H94"/>
  <c r="F94" s="1"/>
  <c r="F102" i="27436"/>
  <c r="G912" i="27446"/>
  <c r="O64" i="27452"/>
  <c r="N73"/>
  <c r="O20"/>
  <c r="B23"/>
  <c r="O53"/>
  <c r="B73"/>
  <c r="O15"/>
  <c r="E57" i="27453" s="1"/>
  <c r="E56" s="1"/>
  <c r="N23" i="27452"/>
  <c r="O42"/>
  <c r="D62" i="27453" s="1"/>
  <c r="J23" i="27452"/>
  <c r="O9"/>
  <c r="E44" i="27453" s="1"/>
  <c r="O34" i="27452"/>
  <c r="D45" i="27453" s="1"/>
  <c r="F45" s="1"/>
  <c r="O19" i="27452"/>
  <c r="E64" i="27453" s="1"/>
  <c r="G23" i="27452"/>
  <c r="O4"/>
  <c r="E38" i="27453" s="1"/>
  <c r="O21" i="27452"/>
  <c r="E70" i="27453" s="1"/>
  <c r="O5" i="27452"/>
  <c r="E39" i="27453" s="1"/>
  <c r="F255" i="27436"/>
  <c r="D29" i="27452" s="1"/>
  <c r="O17"/>
  <c r="E86" i="27453"/>
  <c r="G907" i="27446"/>
  <c r="H11" i="27448"/>
  <c r="H88" s="1"/>
  <c r="H90" s="1"/>
  <c r="H607" s="1"/>
  <c r="G57"/>
  <c r="G18"/>
  <c r="H352" i="27436"/>
  <c r="F352" s="1"/>
  <c r="F32" i="27452" s="1"/>
  <c r="F386" i="27436"/>
  <c r="K259" i="27444"/>
  <c r="M259" s="1"/>
  <c r="M244"/>
  <c r="M246" s="1"/>
  <c r="H505" i="27436"/>
  <c r="F526"/>
  <c r="F379"/>
  <c r="H362"/>
  <c r="F362" s="1"/>
  <c r="F47" i="27452" s="1"/>
  <c r="O47" s="1"/>
  <c r="H374" i="27436"/>
  <c r="F374" s="1"/>
  <c r="H259"/>
  <c r="F259" s="1"/>
  <c r="D36" i="27452" s="1"/>
  <c r="F277" i="27436"/>
  <c r="F279"/>
  <c r="F257"/>
  <c r="D32" i="27452" s="1"/>
  <c r="E46" i="27456"/>
  <c r="E45" s="1"/>
  <c r="F152" i="27436"/>
  <c r="H136"/>
  <c r="F136" s="1"/>
  <c r="B30" i="27452" s="1"/>
  <c r="O30" s="1"/>
  <c r="D40" i="27453" s="1"/>
  <c r="H641" i="27436"/>
  <c r="F641" s="1"/>
  <c r="D57" i="27453"/>
  <c r="D56" s="1"/>
  <c r="H385" i="27436"/>
  <c r="F385" s="1"/>
  <c r="F389"/>
  <c r="H355"/>
  <c r="F355" s="1"/>
  <c r="F35" i="27452" s="1"/>
  <c r="H262" i="27436"/>
  <c r="F262" s="1"/>
  <c r="D45" i="27452" s="1"/>
  <c r="F295" i="27436"/>
  <c r="F215"/>
  <c r="F145"/>
  <c r="B44" i="27452" s="1"/>
  <c r="H148" i="27436"/>
  <c r="F148" s="1"/>
  <c r="B46" i="27452" s="1"/>
  <c r="F185" i="27436"/>
  <c r="F178"/>
  <c r="H137"/>
  <c r="F137" s="1"/>
  <c r="B31" i="27452" s="1"/>
  <c r="O31" s="1"/>
  <c r="D42" i="27453" s="1"/>
  <c r="F42" s="1"/>
  <c r="F175" i="27436"/>
  <c r="H142"/>
  <c r="F142" s="1"/>
  <c r="B36" i="27452" s="1"/>
  <c r="F168" i="27436"/>
  <c r="H135"/>
  <c r="F135" s="1"/>
  <c r="B29" i="27452" s="1"/>
  <c r="G116" i="27448"/>
  <c r="F166" i="27436"/>
  <c r="H134"/>
  <c r="D151" i="27457"/>
  <c r="D149" s="1"/>
  <c r="D152" s="1"/>
  <c r="D143"/>
  <c r="G93" i="27438"/>
  <c r="G95" s="1"/>
  <c r="G97" s="1"/>
  <c r="M99" i="27452"/>
  <c r="O87"/>
  <c r="D235" i="27448"/>
  <c r="E601"/>
  <c r="E608" s="1"/>
  <c r="F320" i="27436"/>
  <c r="E44" i="27452" s="1"/>
  <c r="D191" i="27448"/>
  <c r="F187"/>
  <c r="D187" s="1"/>
  <c r="H601"/>
  <c r="C903" i="27446"/>
  <c r="F624" i="27448"/>
  <c r="D624" s="1"/>
  <c r="C36" i="27452"/>
  <c r="I87" i="27448"/>
  <c r="G87" s="1"/>
  <c r="F114" i="27446"/>
  <c r="E641" i="27436"/>
  <c r="D169" i="27458"/>
  <c r="D168" s="1"/>
  <c r="D171" s="1"/>
  <c r="I48" i="27452"/>
  <c r="H360" i="27436"/>
  <c r="F360" s="1"/>
  <c r="F45" i="27452" s="1"/>
  <c r="H358" i="27436"/>
  <c r="F358" s="1"/>
  <c r="F39" i="27452" s="1"/>
  <c r="G79" i="27448"/>
  <c r="G35"/>
  <c r="G28"/>
  <c r="C55" i="27459"/>
  <c r="C43" s="1"/>
  <c r="G37" i="27448"/>
  <c r="F40" i="27453" l="1"/>
  <c r="C905" i="27446"/>
  <c r="O89" i="27452"/>
  <c r="L99"/>
  <c r="G48"/>
  <c r="G73"/>
  <c r="G99"/>
  <c r="E47" i="27457"/>
  <c r="F49" i="27461"/>
  <c r="F48" s="1"/>
  <c r="O44" i="27441"/>
  <c r="K44" s="1"/>
  <c r="O43"/>
  <c r="K43" s="1"/>
  <c r="C49" i="27461"/>
  <c r="C48" s="1"/>
  <c r="C128" s="1"/>
  <c r="I43" i="27441"/>
  <c r="E43" s="1"/>
  <c r="G75"/>
  <c r="E75" s="1"/>
  <c r="E79"/>
  <c r="M75"/>
  <c r="K75" s="1"/>
  <c r="K79"/>
  <c r="M70"/>
  <c r="K74"/>
  <c r="G70"/>
  <c r="E70" s="1"/>
  <c r="E74"/>
  <c r="K63" i="27450"/>
  <c r="I18" i="27441" s="1"/>
  <c r="E18" s="1"/>
  <c r="K62" i="27450"/>
  <c r="I17" i="27441" s="1"/>
  <c r="E17" s="1"/>
  <c r="E663" i="27436"/>
  <c r="C663" s="1"/>
  <c r="E54" i="27441"/>
  <c r="C95" i="27436"/>
  <c r="C91" s="1"/>
  <c r="C123" s="1"/>
  <c r="H242" i="27444"/>
  <c r="H253" s="1"/>
  <c r="K60" i="27450"/>
  <c r="I14" i="27441" s="1"/>
  <c r="E14" s="1"/>
  <c r="E68"/>
  <c r="M84" i="27450"/>
  <c r="O54" i="27441" s="1"/>
  <c r="O68" s="1"/>
  <c r="C242" i="27444"/>
  <c r="M61" i="27450"/>
  <c r="O16" i="27441" s="1"/>
  <c r="K16" s="1"/>
  <c r="M63" i="27450"/>
  <c r="J49" i="27461"/>
  <c r="J48" s="1"/>
  <c r="I242" i="27444"/>
  <c r="M62" i="27450"/>
  <c r="O17" i="27441" s="1"/>
  <c r="K17" s="1"/>
  <c r="G242" i="27444"/>
  <c r="M60" i="27450"/>
  <c r="O14" i="27441" s="1"/>
  <c r="K14" s="1"/>
  <c r="K242" i="27444"/>
  <c r="E242"/>
  <c r="E251" s="1"/>
  <c r="E255" s="1"/>
  <c r="F147" i="27461" s="1"/>
  <c r="F129" s="1"/>
  <c r="M68" i="27441"/>
  <c r="K54"/>
  <c r="E62" i="27453"/>
  <c r="E60" s="1"/>
  <c r="K40" i="27441"/>
  <c r="K257" i="27444"/>
  <c r="J257"/>
  <c r="J141"/>
  <c r="L141" s="1"/>
  <c r="J140"/>
  <c r="L140" s="1"/>
  <c r="K97" i="27461"/>
  <c r="K93" s="1"/>
  <c r="K76" s="1"/>
  <c r="K48" s="1"/>
  <c r="L147" i="27444"/>
  <c r="E290" i="27436" s="1"/>
  <c r="H251" i="27444"/>
  <c r="H255" s="1"/>
  <c r="I147" i="27461" s="1"/>
  <c r="I129" s="1"/>
  <c r="J242" i="27444"/>
  <c r="J253" s="1"/>
  <c r="C15" i="27446"/>
  <c r="O79" i="27452"/>
  <c r="E100" i="27459"/>
  <c r="L49" i="27461"/>
  <c r="L48" s="1"/>
  <c r="I73" i="27448"/>
  <c r="G73" s="1"/>
  <c r="G49" i="27461"/>
  <c r="G48" s="1"/>
  <c r="E49"/>
  <c r="E48" s="1"/>
  <c r="E128" s="1"/>
  <c r="I49"/>
  <c r="I48" s="1"/>
  <c r="I128" s="1"/>
  <c r="F41" i="27446"/>
  <c r="D49" i="27461"/>
  <c r="D48" s="1"/>
  <c r="D128" s="1"/>
  <c r="M48" i="27452"/>
  <c r="K6" i="27461"/>
  <c r="F905" i="27446"/>
  <c r="F78" i="27448"/>
  <c r="D78" s="1"/>
  <c r="O81" i="27452"/>
  <c r="J99"/>
  <c r="I110" i="27448"/>
  <c r="G110" s="1"/>
  <c r="D139" i="27456"/>
  <c r="C45" i="27458"/>
  <c r="C160" s="1"/>
  <c r="C170" s="1"/>
  <c r="C168" s="1"/>
  <c r="C171" s="1"/>
  <c r="C901" i="27446"/>
  <c r="F622" i="27448"/>
  <c r="D622" s="1"/>
  <c r="F14"/>
  <c r="D14" s="1"/>
  <c r="C14" i="27446"/>
  <c r="D12" i="27452"/>
  <c r="G252" i="27436"/>
  <c r="G638" s="1"/>
  <c r="E87" i="27453" s="1"/>
  <c r="E85" s="1"/>
  <c r="E67"/>
  <c r="E66" s="1"/>
  <c r="E65" s="1"/>
  <c r="F13" i="27448"/>
  <c r="D13" s="1"/>
  <c r="I77"/>
  <c r="G77" s="1"/>
  <c r="I13"/>
  <c r="G13" s="1"/>
  <c r="C114" i="27446"/>
  <c r="D907"/>
  <c r="E628" i="27448" s="1"/>
  <c r="D628" s="1"/>
  <c r="C656" i="27436"/>
  <c r="C76" i="27446"/>
  <c r="C41"/>
  <c r="O83" i="27452"/>
  <c r="C94" i="27446"/>
  <c r="F37" i="27448"/>
  <c r="D37" s="1"/>
  <c r="C45" i="27446"/>
  <c r="C47" i="27457"/>
  <c r="C141" s="1"/>
  <c r="C143" s="1"/>
  <c r="E88" i="27448"/>
  <c r="E90" s="1"/>
  <c r="E602" s="1"/>
  <c r="D128" i="27436"/>
  <c r="M46" i="27444"/>
  <c r="H309" i="27436"/>
  <c r="F309" s="1"/>
  <c r="E137" i="27456"/>
  <c r="E147" s="1"/>
  <c r="E145" s="1"/>
  <c r="E148" s="1"/>
  <c r="E152" i="27459"/>
  <c r="E162" s="1"/>
  <c r="E160" s="1"/>
  <c r="E163" s="1"/>
  <c r="E45" i="27458"/>
  <c r="J6" i="27461"/>
  <c r="I15" i="27448"/>
  <c r="G15" s="1"/>
  <c r="F15" i="27446"/>
  <c r="F6" i="27461"/>
  <c r="I624" i="27448"/>
  <c r="G624" s="1"/>
  <c r="F903" i="27446"/>
  <c r="F40" i="27448"/>
  <c r="D40" s="1"/>
  <c r="C51" i="27446"/>
  <c r="D638" i="27436"/>
  <c r="D639" s="1"/>
  <c r="L6" i="27461"/>
  <c r="L128" s="1"/>
  <c r="H128"/>
  <c r="E42" i="27458"/>
  <c r="C142" i="27455"/>
  <c r="C144" s="1"/>
  <c r="G249" i="27448"/>
  <c r="C152" i="27459"/>
  <c r="C162" s="1"/>
  <c r="C160" s="1"/>
  <c r="C163" s="1"/>
  <c r="G128" i="27461"/>
  <c r="E11" i="27446"/>
  <c r="C11" s="1"/>
  <c r="L46" i="27444"/>
  <c r="F59" i="27448"/>
  <c r="D59" s="1"/>
  <c r="C80" i="27446"/>
  <c r="E123" i="27436"/>
  <c r="C12" i="27446"/>
  <c r="F12" i="27448"/>
  <c r="D12" s="1"/>
  <c r="O93" i="27452"/>
  <c r="O78"/>
  <c r="E144" i="27455"/>
  <c r="J48" i="27452"/>
  <c r="E120" i="27458"/>
  <c r="G251" i="27444"/>
  <c r="G255" s="1"/>
  <c r="H147" i="27461" s="1"/>
  <c r="H129" s="1"/>
  <c r="H95" i="27436"/>
  <c r="H87" i="27446" s="1"/>
  <c r="D60" i="27453"/>
  <c r="C137" i="27456"/>
  <c r="C139" s="1"/>
  <c r="O55" i="27452"/>
  <c r="O75" s="1"/>
  <c r="D73"/>
  <c r="E152" i="27455"/>
  <c r="E150" s="1"/>
  <c r="E153" s="1"/>
  <c r="D31" i="27453"/>
  <c r="F31" s="1"/>
  <c r="F30" s="1"/>
  <c r="I24" i="27448"/>
  <c r="G24" s="1"/>
  <c r="F31" i="27446"/>
  <c r="F577" i="27436"/>
  <c r="H562"/>
  <c r="F562" s="1"/>
  <c r="F23" i="27448"/>
  <c r="D23" s="1"/>
  <c r="C30" i="27446"/>
  <c r="C31"/>
  <c r="F24" i="27448"/>
  <c r="D24" s="1"/>
  <c r="F16"/>
  <c r="C16" i="27446"/>
  <c r="E37" i="27453"/>
  <c r="O29" i="27452"/>
  <c r="D39" i="27453" s="1"/>
  <c r="F39" s="1"/>
  <c r="O45" i="27452"/>
  <c r="D67" i="27453" s="1"/>
  <c r="O35" i="27452"/>
  <c r="D46" i="27453" s="1"/>
  <c r="F46" s="1"/>
  <c r="I21" i="27448"/>
  <c r="G21" s="1"/>
  <c r="F28" i="27446"/>
  <c r="D5" i="27453"/>
  <c r="F5" s="1"/>
  <c r="M43" i="27444"/>
  <c r="D48" i="27452"/>
  <c r="G245" i="27444"/>
  <c r="E141" i="27457"/>
  <c r="E151" s="1"/>
  <c r="E149" s="1"/>
  <c r="E152" s="1"/>
  <c r="O85" i="27452"/>
  <c r="F353" i="27436"/>
  <c r="F33" i="27452"/>
  <c r="O33" s="1"/>
  <c r="D44" i="27453" s="1"/>
  <c r="F44" s="1"/>
  <c r="O46" i="27452"/>
  <c r="D70" i="27453" s="1"/>
  <c r="F70" s="1"/>
  <c r="F96" i="27446"/>
  <c r="I78" i="27448"/>
  <c r="G78" s="1"/>
  <c r="F17" i="27436"/>
  <c r="I12" i="27448"/>
  <c r="G12" s="1"/>
  <c r="F12" i="27446"/>
  <c r="I25" i="27448"/>
  <c r="F32" i="27446"/>
  <c r="H11"/>
  <c r="F11" s="1"/>
  <c r="D4" i="27453"/>
  <c r="F4" s="1"/>
  <c r="G117" i="27446"/>
  <c r="G893"/>
  <c r="O95" i="27452"/>
  <c r="E562" i="27436"/>
  <c r="C562" s="1"/>
  <c r="C577"/>
  <c r="O82" i="27452"/>
  <c r="F99"/>
  <c r="E309" i="27436"/>
  <c r="C309" s="1"/>
  <c r="C318"/>
  <c r="E86" i="27452" s="1"/>
  <c r="E99" s="1"/>
  <c r="E351" i="27436"/>
  <c r="C351" s="1"/>
  <c r="E133"/>
  <c r="C133" s="1"/>
  <c r="F95" i="27448"/>
  <c r="D95" s="1"/>
  <c r="D601" s="1"/>
  <c r="B99" i="27452"/>
  <c r="C505" i="27436"/>
  <c r="H94" i="27452" s="1"/>
  <c r="H99" s="1"/>
  <c r="E493" i="27436"/>
  <c r="C493" s="1"/>
  <c r="O94" i="27452"/>
  <c r="C259" i="27436"/>
  <c r="D86" i="27452" s="1"/>
  <c r="J252" i="27444"/>
  <c r="J251" s="1"/>
  <c r="J255" s="1"/>
  <c r="K147" i="27461" s="1"/>
  <c r="K129" s="1"/>
  <c r="F245" i="27444"/>
  <c r="F252"/>
  <c r="F251" s="1"/>
  <c r="F255" s="1"/>
  <c r="G147" i="27461" s="1"/>
  <c r="G129" s="1"/>
  <c r="D245" i="27444"/>
  <c r="D252"/>
  <c r="D251" s="1"/>
  <c r="D255" s="1"/>
  <c r="E147" i="27461" s="1"/>
  <c r="E129" s="1"/>
  <c r="C87" i="27446"/>
  <c r="F72" i="27448"/>
  <c r="E83" i="27446"/>
  <c r="B252" i="27444"/>
  <c r="L43"/>
  <c r="B245"/>
  <c r="D117" i="27446"/>
  <c r="D893"/>
  <c r="F62" i="27453"/>
  <c r="F60" s="1"/>
  <c r="G645" i="27436"/>
  <c r="G643" s="1"/>
  <c r="H628" i="27448"/>
  <c r="G628" s="1"/>
  <c r="F907" i="27446"/>
  <c r="H493" i="27436"/>
  <c r="F493" s="1"/>
  <c r="F505"/>
  <c r="H44" i="27452" s="1"/>
  <c r="H48" s="1"/>
  <c r="H252" i="27436"/>
  <c r="F252" s="1"/>
  <c r="H665"/>
  <c r="F665" s="1"/>
  <c r="F81" i="27453"/>
  <c r="F57"/>
  <c r="F56" s="1"/>
  <c r="O36" i="27452"/>
  <c r="D47" i="27453" s="1"/>
  <c r="H133" i="27436"/>
  <c r="F133" s="1"/>
  <c r="F134"/>
  <c r="B28" i="27452" s="1"/>
  <c r="H608" i="27448"/>
  <c r="H602"/>
  <c r="E665" i="27436"/>
  <c r="C665" s="1"/>
  <c r="C641"/>
  <c r="O32" i="27452"/>
  <c r="D43" i="27453" s="1"/>
  <c r="C48" i="27452"/>
  <c r="H351" i="27436"/>
  <c r="F351" s="1"/>
  <c r="O39" i="27452"/>
  <c r="D55" i="27453" s="1"/>
  <c r="H605" i="27448"/>
  <c r="E48" i="27452"/>
  <c r="F67" i="27453" l="1"/>
  <c r="O73" i="27452"/>
  <c r="C251" i="27444"/>
  <c r="C255" s="1"/>
  <c r="D147" i="27461" s="1"/>
  <c r="D129" s="1"/>
  <c r="J128"/>
  <c r="K253" i="27444"/>
  <c r="K251" s="1"/>
  <c r="K255" s="1"/>
  <c r="L147" i="27461" s="1"/>
  <c r="L129" s="1"/>
  <c r="F128"/>
  <c r="E245" i="27444"/>
  <c r="K68" i="27441"/>
  <c r="L253" i="27444"/>
  <c r="E659" i="27436" s="1"/>
  <c r="E910" i="27446" s="1"/>
  <c r="F631" i="27448" s="1"/>
  <c r="D631" s="1"/>
  <c r="L242" i="27444"/>
  <c r="H245"/>
  <c r="D658" i="27436"/>
  <c r="D909" i="27446" s="1"/>
  <c r="C909" s="1"/>
  <c r="C245" i="27444"/>
  <c r="M242"/>
  <c r="E607" i="27448"/>
  <c r="C907" i="27446"/>
  <c r="K128" i="27461"/>
  <c r="E154" i="27459"/>
  <c r="I245" i="27444"/>
  <c r="L14" i="27441"/>
  <c r="K245" i="27444"/>
  <c r="G655" i="27436"/>
  <c r="G660" s="1"/>
  <c r="G909" i="27446"/>
  <c r="F909" s="1"/>
  <c r="J245" i="27444"/>
  <c r="C290" i="27436"/>
  <c r="E284"/>
  <c r="C284" s="1"/>
  <c r="E285"/>
  <c r="E263"/>
  <c r="F658"/>
  <c r="F667" s="1"/>
  <c r="G639"/>
  <c r="I95" i="27448"/>
  <c r="G95" s="1"/>
  <c r="G601" s="1"/>
  <c r="E160" i="27458"/>
  <c r="O12" i="27452"/>
  <c r="D23"/>
  <c r="O23" s="1"/>
  <c r="D30" i="27453"/>
  <c r="C154" i="27459"/>
  <c r="C162" i="27458"/>
  <c r="C83" i="27446"/>
  <c r="C115" s="1"/>
  <c r="C117" s="1"/>
  <c r="C890" s="1"/>
  <c r="C147" i="27456"/>
  <c r="C145" s="1"/>
  <c r="C148" s="1"/>
  <c r="E115" i="27446"/>
  <c r="E117" s="1"/>
  <c r="E890" s="1"/>
  <c r="C151" i="27457"/>
  <c r="C149" s="1"/>
  <c r="C152" s="1"/>
  <c r="E605" i="27448"/>
  <c r="F48" i="27452"/>
  <c r="E168" i="27458"/>
  <c r="E171" s="1"/>
  <c r="D645" i="27436"/>
  <c r="D643" s="1"/>
  <c r="C152" i="27455"/>
  <c r="C150" s="1"/>
  <c r="C153" s="1"/>
  <c r="I72" i="27448"/>
  <c r="I70" s="1"/>
  <c r="H83" i="27446"/>
  <c r="H115" s="1"/>
  <c r="H117" s="1"/>
  <c r="H890" s="1"/>
  <c r="F95" i="27436"/>
  <c r="F91" s="1"/>
  <c r="F123" s="1"/>
  <c r="H91"/>
  <c r="F87" i="27446"/>
  <c r="F83" s="1"/>
  <c r="F115" s="1"/>
  <c r="F117" s="1"/>
  <c r="F890" s="1"/>
  <c r="F601" i="27448"/>
  <c r="F3" i="27453"/>
  <c r="E139" i="27456"/>
  <c r="E143" i="27457"/>
  <c r="D16" i="27448"/>
  <c r="F11"/>
  <c r="D11" s="1"/>
  <c r="F66" i="27453"/>
  <c r="F65" s="1"/>
  <c r="M252" i="27444"/>
  <c r="H657" i="27436" s="1"/>
  <c r="H908" i="27446" s="1"/>
  <c r="F908" s="1"/>
  <c r="D66" i="27453"/>
  <c r="D65" s="1"/>
  <c r="G25" i="27448"/>
  <c r="I11"/>
  <c r="D3" i="27453"/>
  <c r="G890" i="27446"/>
  <c r="G895"/>
  <c r="O86" i="27452"/>
  <c r="B251" i="27444"/>
  <c r="L252"/>
  <c r="E657" i="27436" s="1"/>
  <c r="F70" i="27448"/>
  <c r="D72"/>
  <c r="D70" s="1"/>
  <c r="D895" i="27446"/>
  <c r="D890"/>
  <c r="H630" i="27448"/>
  <c r="G630" s="1"/>
  <c r="O44" i="27452"/>
  <c r="D64" i="27453" s="1"/>
  <c r="F64" s="1"/>
  <c r="F80"/>
  <c r="D81"/>
  <c r="D80" s="1"/>
  <c r="H638" i="27436"/>
  <c r="F638"/>
  <c r="B48" i="27452"/>
  <c r="O28"/>
  <c r="D38" i="27453" s="1"/>
  <c r="D37" s="1"/>
  <c r="F55"/>
  <c r="F51" s="1"/>
  <c r="D51"/>
  <c r="F43"/>
  <c r="D41"/>
  <c r="C659" i="27436" l="1"/>
  <c r="C910" i="27446"/>
  <c r="G906"/>
  <c r="H627" i="27448" s="1"/>
  <c r="H632" s="1"/>
  <c r="L245" i="27444"/>
  <c r="E630" i="27448"/>
  <c r="D630" s="1"/>
  <c r="E634" s="1"/>
  <c r="D655" i="27436"/>
  <c r="D660" s="1"/>
  <c r="C658"/>
  <c r="D667" s="1"/>
  <c r="M245" i="27444"/>
  <c r="I251"/>
  <c r="M253"/>
  <c r="H659" i="27436" s="1"/>
  <c r="C263"/>
  <c r="D97" i="27452" s="1"/>
  <c r="E252" i="27436"/>
  <c r="E162" i="27458"/>
  <c r="O48" i="27452"/>
  <c r="I601" i="27448"/>
  <c r="E47" i="27453"/>
  <c r="O25" i="27452"/>
  <c r="D88" i="27448"/>
  <c r="D90" s="1"/>
  <c r="D602" s="1"/>
  <c r="D9" i="27453"/>
  <c r="H123" i="27436"/>
  <c r="H639" s="1"/>
  <c r="F639"/>
  <c r="I629" i="27448"/>
  <c r="F88"/>
  <c r="F90" s="1"/>
  <c r="F602" s="1"/>
  <c r="F657" i="27436"/>
  <c r="D86" i="27453" s="1"/>
  <c r="F86"/>
  <c r="I88" i="27448"/>
  <c r="I90" s="1"/>
  <c r="G11"/>
  <c r="G88" s="1"/>
  <c r="G90" s="1"/>
  <c r="G602" s="1"/>
  <c r="E908" i="27446"/>
  <c r="C657" i="27436"/>
  <c r="L251" i="27444"/>
  <c r="E655" i="27436" s="1"/>
  <c r="E906" i="27446" s="1"/>
  <c r="F627" i="27448" s="1"/>
  <c r="B255" i="27444"/>
  <c r="D913" i="27446"/>
  <c r="F38" i="27453"/>
  <c r="F37" s="1"/>
  <c r="O50" i="27452"/>
  <c r="D36" i="27453"/>
  <c r="D35" s="1"/>
  <c r="G911" i="27446" l="1"/>
  <c r="D906"/>
  <c r="E627" i="27448" s="1"/>
  <c r="E632" s="1"/>
  <c r="I602"/>
  <c r="I255" i="27444"/>
  <c r="J147" i="27461" s="1"/>
  <c r="J129" s="1"/>
  <c r="M251" i="27444"/>
  <c r="H910" i="27446"/>
  <c r="F87" i="27453"/>
  <c r="F85" s="1"/>
  <c r="F659" i="27436"/>
  <c r="D87" i="27453" s="1"/>
  <c r="D85" s="1"/>
  <c r="O97" i="27452"/>
  <c r="O101" s="1"/>
  <c r="D99"/>
  <c r="O99" s="1"/>
  <c r="C252" i="27436"/>
  <c r="C638" s="1"/>
  <c r="C639" s="1"/>
  <c r="E638"/>
  <c r="E639" s="1"/>
  <c r="E41" i="27453"/>
  <c r="F47"/>
  <c r="L255" i="27444"/>
  <c r="F632" i="27448" s="1"/>
  <c r="C147" i="27461"/>
  <c r="C129" s="1"/>
  <c r="F9" i="27453"/>
  <c r="F8" s="1"/>
  <c r="F2" s="1"/>
  <c r="D8"/>
  <c r="D2" s="1"/>
  <c r="C660" i="27436"/>
  <c r="C655"/>
  <c r="C908" i="27446"/>
  <c r="C906" s="1"/>
  <c r="C911" s="1"/>
  <c r="F629" i="27448"/>
  <c r="D629" s="1"/>
  <c r="D627" s="1"/>
  <c r="D632" s="1"/>
  <c r="D911" i="27446" l="1"/>
  <c r="F655" i="27436"/>
  <c r="E660"/>
  <c r="F660"/>
  <c r="M255" i="27444"/>
  <c r="H655" i="27436"/>
  <c r="H906" i="27446" s="1"/>
  <c r="I627" i="27448" s="1"/>
  <c r="I631"/>
  <c r="G631" s="1"/>
  <c r="G627" s="1"/>
  <c r="G632" s="1"/>
  <c r="F910" i="27446"/>
  <c r="E36" i="27453"/>
  <c r="E35" s="1"/>
  <c r="F41"/>
  <c r="F36" s="1"/>
  <c r="F35" s="1"/>
  <c r="E911" i="27446"/>
  <c r="H660" i="27436" l="1"/>
  <c r="H911" i="27446"/>
  <c r="I632" i="27448"/>
</calcChain>
</file>

<file path=xl/sharedStrings.xml><?xml version="1.0" encoding="utf-8"?>
<sst xmlns="http://schemas.openxmlformats.org/spreadsheetml/2006/main" count="8261" uniqueCount="3462">
  <si>
    <t>Субвенц. Образ./сад МДОО</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</si>
  <si>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</si>
  <si>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</si>
  <si>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</si>
  <si>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</si>
  <si>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</si>
  <si>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Налог на прибыль организаций, зачислявшийся до 1 января 2005 года в местные бюджеты, мобилизуемый на территориях муниципальных районов</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</si>
  <si>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</si>
  <si>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 зачисляемые в бюджеты поселений</t>
  </si>
  <si>
    <t>Невыясненные поступления, зачисляемые в бюджеты поселений</t>
  </si>
  <si>
    <t>Возврат остатков субсидий и субвенций из бюджетов муниципальных районов</t>
  </si>
  <si>
    <t>000 2 02 030 78 05 0000 151</t>
  </si>
  <si>
    <t>Возврат остатков субсидий и субвенций из бюджетов поселений</t>
  </si>
  <si>
    <t>Дотации бюджетам муниципальных районов на выравнивание уровня бюджетной обеспеченности</t>
  </si>
  <si>
    <t>000 1 05 01020 01 0000 110</t>
  </si>
  <si>
    <t>000 1 05 02000 02 0000 110</t>
  </si>
  <si>
    <t>Субвенции бюджетам муниципальных районов на выполнение передаваемых полномочий субъектов Российской Федерации</t>
  </si>
  <si>
    <t>Дотации бюджетам муниципальных районов на выравнивание уровня бюджетной обеспеченности 340858208.29</t>
  </si>
  <si>
    <t>Прочие субвенции бюджетам муниципальных районов</t>
  </si>
  <si>
    <t>Прочие субсидии бюджетам муниципальных районов</t>
  </si>
  <si>
    <t>Прочие субсидии бюджетам поселений</t>
  </si>
  <si>
    <t>254013700</t>
  </si>
  <si>
    <t>Доходы от продажи услуг, оказываемых учреждениями, находящимися в ведении органов местного самоуправления муниципальных районов</t>
  </si>
  <si>
    <t>Арендная плата за пользование имуществом</t>
  </si>
  <si>
    <t>Функционирование высшего должностного лица  органа местного самоуправления</t>
  </si>
  <si>
    <t>Аредная плата за пользование имуществом</t>
  </si>
  <si>
    <t>Мобилизационная и вневойсковая подготовка</t>
  </si>
  <si>
    <t>00001050000000000000</t>
  </si>
  <si>
    <t>Судебная система</t>
  </si>
  <si>
    <t>000 1 17 05050 10 0000 180</t>
  </si>
  <si>
    <t>000 117 05 05010 0000 180</t>
  </si>
  <si>
    <t>Ежемесячное денежное вознаграждение за классное руководство</t>
  </si>
  <si>
    <t>х</t>
  </si>
  <si>
    <t>Функционирование законодательных (представительных) органов государственной власти и представительных органов муниципальных образований</t>
  </si>
  <si>
    <t>00001030000000000000</t>
  </si>
  <si>
    <t>Обеспечение деятельности финансовых, налоговых и таможенных органов и органов финансового (финансово-бюджетного) надзора</t>
  </si>
  <si>
    <t>план</t>
  </si>
  <si>
    <t>Доходы</t>
  </si>
  <si>
    <t>Всего собственные</t>
  </si>
  <si>
    <t>Налог с продаж</t>
  </si>
  <si>
    <t>00007000000000000224</t>
  </si>
  <si>
    <t>00008000000000000225</t>
  </si>
  <si>
    <t>00009000000000000224</t>
  </si>
  <si>
    <t>00009000000000000290</t>
  </si>
  <si>
    <t>Плата за негативное воздействие на окружающую среду</t>
  </si>
  <si>
    <t>00001000000000000224</t>
  </si>
  <si>
    <t>Невыясненные поступления</t>
  </si>
  <si>
    <t>00020000000000000000</t>
  </si>
  <si>
    <t>БЕЗВОЗМЕЗДНЫЕ ПОСТУПЛЕНИЯ</t>
  </si>
  <si>
    <t>00085000000000000000</t>
  </si>
  <si>
    <t>Итого внутренних оборотов</t>
  </si>
  <si>
    <t>00089000000000000000</t>
  </si>
  <si>
    <t>Всего доходов</t>
  </si>
  <si>
    <t>211</t>
  </si>
  <si>
    <t>212</t>
  </si>
  <si>
    <t>213</t>
  </si>
  <si>
    <t>223</t>
  </si>
  <si>
    <t>010</t>
  </si>
  <si>
    <t>012</t>
  </si>
  <si>
    <t>013</t>
  </si>
  <si>
    <t>290</t>
  </si>
  <si>
    <t>00004000000000000241</t>
  </si>
  <si>
    <t>Безвозмездные и безвозвратные перечисления организациям государственным муниципальным образованиям</t>
  </si>
  <si>
    <t>00009000000000000221</t>
  </si>
  <si>
    <t>00009000000000000222</t>
  </si>
  <si>
    <t>00009000000000000225</t>
  </si>
  <si>
    <t>Итого</t>
  </si>
  <si>
    <t>Начальник финансового управления</t>
  </si>
  <si>
    <t>Главный бухгалтер</t>
  </si>
  <si>
    <t>Межбюджетные трансферты</t>
  </si>
  <si>
    <t>00009000000000000310</t>
  </si>
  <si>
    <t>00008000000000000224</t>
  </si>
  <si>
    <t xml:space="preserve">                                                                                                                                   </t>
  </si>
  <si>
    <t>Перечисление другим бюджетам</t>
  </si>
  <si>
    <t>Наименование показателя</t>
  </si>
  <si>
    <t>Общегосударственные вопросы</t>
  </si>
  <si>
    <t>00001000000000000000</t>
  </si>
  <si>
    <t>Оплата труда</t>
  </si>
  <si>
    <t>00001000000000000211</t>
  </si>
  <si>
    <t>Прочие выплаты</t>
  </si>
  <si>
    <t>00001000000000000212</t>
  </si>
  <si>
    <t>Начисления на оплату труда</t>
  </si>
  <si>
    <t>00001000000000000213</t>
  </si>
  <si>
    <t>Услуги связи</t>
  </si>
  <si>
    <t>00001000000000000221</t>
  </si>
  <si>
    <t>Транспортные услуги</t>
  </si>
  <si>
    <t>00001000000000000222</t>
  </si>
  <si>
    <t>Коммунальные услуги</t>
  </si>
  <si>
    <t>00001000000000000223</t>
  </si>
  <si>
    <t>Услуги по содержанию имущества</t>
  </si>
  <si>
    <t>00001000000000000225</t>
  </si>
  <si>
    <t>Прочие услуги</t>
  </si>
  <si>
    <t>00001000000000000226</t>
  </si>
  <si>
    <t>Обслуживание внутренних долговых обязательств</t>
  </si>
  <si>
    <t>00001000000000000231</t>
  </si>
  <si>
    <t>Прочие расходы</t>
  </si>
  <si>
    <t>00001000000000000290</t>
  </si>
  <si>
    <t>Увеличение стоимости основных средств</t>
  </si>
  <si>
    <t>субсидия на повышение эффективности</t>
  </si>
  <si>
    <t>00001000000000000310</t>
  </si>
  <si>
    <t>Увеличение стоимости материальных запасов</t>
  </si>
  <si>
    <t>00001000000000000340</t>
  </si>
  <si>
    <t>00001020000000000000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</si>
  <si>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</si>
  <si>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00001040000000000000</t>
  </si>
  <si>
    <t>000 219 0500010 0000 151</t>
  </si>
  <si>
    <t>000 0501 0000000 000 222</t>
  </si>
  <si>
    <t>000 0502 0000000 000 226</t>
  </si>
  <si>
    <t>000 0503 0000000 000 222</t>
  </si>
  <si>
    <t>000 0502 0000000 000000 226</t>
  </si>
  <si>
    <t>000 0502 0000000 000000 340</t>
  </si>
  <si>
    <t>000219 05000 10 0000 151</t>
  </si>
  <si>
    <t>000 502 00000000 000 226</t>
  </si>
  <si>
    <t>Аренда имущества</t>
  </si>
  <si>
    <t>000 0104 0000000 000 224</t>
  </si>
  <si>
    <t>000 0100 0000000 000 224</t>
  </si>
  <si>
    <t>000 0501 0000000 000 340</t>
  </si>
  <si>
    <t xml:space="preserve">000 0309 0000000 000 340 </t>
  </si>
  <si>
    <t>000 0409 0000000 000226</t>
  </si>
  <si>
    <t>000 2 02 03024 10 0000 151</t>
  </si>
  <si>
    <t>Субвенции бюджетам поселение на выполнение передаваемых полномочий субъектов Российской Федерации</t>
  </si>
  <si>
    <t>00010000000000000290</t>
  </si>
  <si>
    <t>00001060000000000000</t>
  </si>
  <si>
    <t>Субсидия на подготовку ген.плана</t>
  </si>
  <si>
    <t>Обеспечение проведения выборов и референдумов</t>
  </si>
  <si>
    <t>00001070000000000000</t>
  </si>
  <si>
    <t>Обслуживание государственного и муниципального долга</t>
  </si>
  <si>
    <t>00001120000000000000</t>
  </si>
  <si>
    <t>Резервные фонды</t>
  </si>
  <si>
    <t>Другие общегосударственные вопросы</t>
  </si>
  <si>
    <t>Национальная безопасность и правоохранительная деятельность</t>
  </si>
  <si>
    <t>00003000000000000000</t>
  </si>
  <si>
    <t>00003000000000000211</t>
  </si>
  <si>
    <t>00003000000000000212</t>
  </si>
  <si>
    <t>Органы внутренних дел</t>
  </si>
  <si>
    <t>00003020000000000000</t>
  </si>
  <si>
    <t>00001000000000000330</t>
  </si>
  <si>
    <t>Национальная экономика</t>
  </si>
  <si>
    <t>00004000000000000000</t>
  </si>
  <si>
    <t>Безвозмездные и безвозвратные перечисления  организациям, за исключением государственных и муниципальных организаций</t>
  </si>
  <si>
    <t>00004000000000000242</t>
  </si>
  <si>
    <t>Другие вопросы в области национальной экономики</t>
  </si>
  <si>
    <t>Жилищно-коммунальное хозяйство</t>
  </si>
  <si>
    <t>00005000000000000000</t>
  </si>
  <si>
    <t>Безвозмездные и безвозвратные перечисления государственным и муниципальным организациям</t>
  </si>
  <si>
    <t>00005000000000000241</t>
  </si>
  <si>
    <t>Коммунальное хозяйство</t>
  </si>
  <si>
    <t>00005020000000000000</t>
  </si>
  <si>
    <t>Образование</t>
  </si>
  <si>
    <t>00007000000000000000</t>
  </si>
  <si>
    <t>00007000000000000211</t>
  </si>
  <si>
    <t>00007000000000000212</t>
  </si>
  <si>
    <t>00007000000000000213</t>
  </si>
  <si>
    <t>00007000000000000221</t>
  </si>
  <si>
    <t>00007000000000000222</t>
  </si>
  <si>
    <t>00007000000000000223</t>
  </si>
  <si>
    <t>00007000000000000225</t>
  </si>
  <si>
    <t>00007000000000000226</t>
  </si>
  <si>
    <t>00007000000000000290</t>
  </si>
  <si>
    <t>00007000000000000310</t>
  </si>
  <si>
    <t>00007000000000000340</t>
  </si>
  <si>
    <t>Дошкольное образование</t>
  </si>
  <si>
    <t>00007010000000000000</t>
  </si>
  <si>
    <t>Общее образование</t>
  </si>
  <si>
    <t>10100</t>
  </si>
  <si>
    <t>00007020000000000000</t>
  </si>
  <si>
    <t>Молодежная политика и оздоровление детей</t>
  </si>
  <si>
    <t>00007070000000000000</t>
  </si>
  <si>
    <t>Другие вопросы в области образования</t>
  </si>
  <si>
    <t>00007090000000000000</t>
  </si>
  <si>
    <t>Культура, кинематография, средства массовой информации</t>
  </si>
  <si>
    <t>00008000000000000000</t>
  </si>
  <si>
    <t>00008000000000000211</t>
  </si>
  <si>
    <t>00008000000000000212</t>
  </si>
  <si>
    <t>00008000000000000213</t>
  </si>
  <si>
    <t>00008000000000000221</t>
  </si>
  <si>
    <t>00008000000000000222</t>
  </si>
  <si>
    <t>00008000000000000223</t>
  </si>
  <si>
    <t>00008000000000000226</t>
  </si>
  <si>
    <t>00008000000000000290</t>
  </si>
  <si>
    <t>00008000000000000310</t>
  </si>
  <si>
    <t>00008000000000000340</t>
  </si>
  <si>
    <t>Культура</t>
  </si>
  <si>
    <t>00008010000000000000</t>
  </si>
  <si>
    <t>Телевидение и радиовещание</t>
  </si>
  <si>
    <t>Периодическая печать и издательства</t>
  </si>
  <si>
    <t>00008040000000000000</t>
  </si>
  <si>
    <t>Другие вопросы в области культуры, кинематографии и средств массовой информации</t>
  </si>
  <si>
    <t>Здравоохранение и спорт</t>
  </si>
  <si>
    <t>00009000000000000000</t>
  </si>
  <si>
    <t>00009000000000000211</t>
  </si>
  <si>
    <t>00009000000000000212</t>
  </si>
  <si>
    <t>00009000000000000213</t>
  </si>
  <si>
    <t>00009000000000000223</t>
  </si>
  <si>
    <t>00009000000000000226</t>
  </si>
  <si>
    <t>00009000000000000340</t>
  </si>
  <si>
    <t>Спорт и физическая культура</t>
  </si>
  <si>
    <t>00009020000000000000</t>
  </si>
  <si>
    <t>Социальная политика</t>
  </si>
  <si>
    <t>00010000000000000000</t>
  </si>
  <si>
    <t>00010000000000000226</t>
  </si>
  <si>
    <t>Пособия по социальной помощи населению</t>
  </si>
  <si>
    <t>00010000000000000262</t>
  </si>
  <si>
    <t>Социальные пособия, выплачиваемые организациями сектора государственного управления</t>
  </si>
  <si>
    <t>00010000000000000263</t>
  </si>
  <si>
    <t>Пенсионное обеспечение</t>
  </si>
  <si>
    <t>00010010000000000000</t>
  </si>
  <si>
    <t>Социальное обслуживание населения</t>
  </si>
  <si>
    <t>Социальное обеспечение населения</t>
  </si>
  <si>
    <t>00010030000000000000</t>
  </si>
  <si>
    <t>Другие вопросы в области социальной политики</t>
  </si>
  <si>
    <t>00010060000000000000</t>
  </si>
  <si>
    <t>Расходы бюджета - ВСЕГО</t>
  </si>
  <si>
    <t>00098000000000000000</t>
  </si>
  <si>
    <t>Результат исполнения бюджета (дефицит "--", профицит "+")</t>
  </si>
  <si>
    <t>00079000000000000000</t>
  </si>
  <si>
    <t>Код по бюджетной классификации</t>
  </si>
  <si>
    <t xml:space="preserve"> Д О Х О Д Ы</t>
  </si>
  <si>
    <t>Прочие безвозмездные</t>
  </si>
  <si>
    <t>000.0501.000000.000.000</t>
  </si>
  <si>
    <t>Долгосрочная областная целевая пограмма "Энергосбережение и повышение энегетической эффективности на территории Иркутской области на 2011-2015 годы ина период до 2020 года"</t>
  </si>
  <si>
    <t>Школы начальные,неполные ,среднее(субвеция на образование)</t>
  </si>
  <si>
    <t>000 2 19 05000 10 0000 151</t>
  </si>
  <si>
    <t>000 0801 0000000 000000</t>
  </si>
  <si>
    <t>000 2 02 02150 10 0000 151(энерго)</t>
  </si>
  <si>
    <t>Долгосрочная муниципальная программа "Комплексные меры профилактики злоупотребления наркотическими средствами и психотропными веществами на 2011-2013 годы"</t>
  </si>
  <si>
    <t>Мероприятия в области здравоохранения, спорта и физической культуры, туризма</t>
  </si>
  <si>
    <t>000.1301.000000.000.000</t>
  </si>
  <si>
    <t>000.1301.000000.000.231</t>
  </si>
  <si>
    <t>обслуживание внутреннего долга</t>
  </si>
  <si>
    <t>Иные межбюджетные трансферты</t>
  </si>
  <si>
    <t>Иные межбюджетные трансферты, предоставляемые бюджетам поселений за счет средств областного бюджета на поддержку мер по обеспечению сбалансированности местных бюджетов</t>
  </si>
  <si>
    <t>Выравнивание бюджетной обеспеченности</t>
  </si>
  <si>
    <t>00009020000000000241</t>
  </si>
  <si>
    <t>000.0707.000000.000.000</t>
  </si>
  <si>
    <t>Физическая культура и спорт</t>
  </si>
  <si>
    <t>Частичное возмещение транспортных расходов организаций розничной торговли, осуществляющих доставку товаров первой необходимости</t>
  </si>
  <si>
    <t>- налог на доходы физических лиц с доходов, полученных в виде процентов по облигациям с ипотечным покрытием, имитированным до 1 января 2007 года, а также с доходов учредителей доверительного управления ипотечным покрытием, полученных на основании приобре</t>
  </si>
  <si>
    <t>Единый налог на вмененный доход для отдельных видов деятельности</t>
  </si>
  <si>
    <t>0000310000000000000</t>
  </si>
  <si>
    <t>00003000000000000262</t>
  </si>
  <si>
    <t>00005000000000000340</t>
  </si>
  <si>
    <t>Доходы от уплатыакцизов на дизельное топливо,зачисляемые в консолидированный бюджет субъекта РФ</t>
  </si>
  <si>
    <t>Доходы от уплатыакцизов на моторные масла для дизельных и карбюраторных двигателей,зачисляемые в консолидированный бюджет субъекта РФ</t>
  </si>
  <si>
    <t>Доходы от уплатыакцизов на автомобильный бензин,производимый на территории РФ,зачисляемые в консолидированный бюджет субъекта РФ</t>
  </si>
  <si>
    <t>Доходы от уплатыакцизов на прямогонный бензин,производимый на территории РФ ,зачисляемые в консолидированный бюджет субъекта РФ</t>
  </si>
  <si>
    <t>000 103 02230 01 0000 110</t>
  </si>
  <si>
    <t>000 103 02240 01 0000 110</t>
  </si>
  <si>
    <t>000 103 02250 01 0000 110</t>
  </si>
  <si>
    <t>000 103 02260 01 0000 110</t>
  </si>
  <si>
    <t>Прочие поступления от денежных взысканий (штрафов) зачисляемые в бюджеты муниципальных районов</t>
  </si>
  <si>
    <t>00004090000000000000</t>
  </si>
  <si>
    <t xml:space="preserve">                                                                                                                                                               на 1 января 2009 года                                                                                                          </t>
  </si>
  <si>
    <t>Субвенции местным бюджетам для осуществления органами местного самоуправления областных государственных полномочий по хранению, комплектованию, учету и использованию архивных документов, относящихся к областной государственной собственности</t>
  </si>
  <si>
    <t>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t>
  </si>
  <si>
    <t>Субвенции местным бюджетам для осуществления органами местного самоуправления областных государственных полномочий в области охраны труда</t>
  </si>
  <si>
    <t>Субвенции местным бюджетам для осуществления органами местного самоуправления областных государственных полномочий лицензированию алкогольной продукции</t>
  </si>
  <si>
    <t>000.0501.5222100.003.310</t>
  </si>
  <si>
    <t>000.0502.3510200.006.000</t>
  </si>
  <si>
    <t>000.0502.3510200.006.241</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</si>
  <si>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</si>
  <si>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00010000000000000224</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</si>
  <si>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</si>
  <si>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000.0502.3510500.006.225</t>
  </si>
  <si>
    <t>000.0502.3510300.006.241</t>
  </si>
  <si>
    <t>000.0502.3510300.006.000</t>
  </si>
  <si>
    <t>000.0502.3510500.500.241</t>
  </si>
  <si>
    <t>000.0502.3510500.000.000</t>
  </si>
  <si>
    <t>Мероприятия в области коммунального хозяйства</t>
  </si>
  <si>
    <t>000.0701.4209900.001.211</t>
  </si>
  <si>
    <t>000.0701.4209900.001.000</t>
  </si>
  <si>
    <t>000.0701.4209900.001.212</t>
  </si>
  <si>
    <t>000.0701.4209900.001.213</t>
  </si>
  <si>
    <t>000.0701.4209900.001.221</t>
  </si>
  <si>
    <t>000.0701.4209900.001.222</t>
  </si>
  <si>
    <t>000.0701.4209900.001.223</t>
  </si>
  <si>
    <t>000.0701.4209900.001.224</t>
  </si>
  <si>
    <t>000.0701.4209900.001.225</t>
  </si>
  <si>
    <t>000.0701.4209900.001.226</t>
  </si>
  <si>
    <t>000.0701.4209900.001.290</t>
  </si>
  <si>
    <t>000.0701.4209900.001.310</t>
  </si>
  <si>
    <t>000.0701.4209900.001.340</t>
  </si>
  <si>
    <t xml:space="preserve">Центральные аппарат </t>
  </si>
  <si>
    <t>000.0709.0020400.500.000</t>
  </si>
  <si>
    <t>000.0709.0020400.500.211</t>
  </si>
  <si>
    <t>000.0709.0020400.500.212</t>
  </si>
  <si>
    <t>000.0709.0020400.500.213</t>
  </si>
  <si>
    <t>000.0709.0020400.500.221</t>
  </si>
  <si>
    <t>000.0709.0020400.500.222</t>
  </si>
  <si>
    <t>000 0203 0000000 000 226</t>
  </si>
  <si>
    <t>000 0409 0000000 000 340</t>
  </si>
  <si>
    <t>000 0503 0000000 000 242</t>
  </si>
  <si>
    <t>Безвозмездные и безвозвратные перечисления  за исключениемгосударственным и муниципальным организациям</t>
  </si>
  <si>
    <t>000 1105 0000000 000 290</t>
  </si>
  <si>
    <t>000 0412 0000000 000 242</t>
  </si>
  <si>
    <t>Безвозмездные и безвозвратные перечисленияза исключением государственным и муниципальным организациям</t>
  </si>
  <si>
    <t xml:space="preserve">000 0501 0000000 000 310 </t>
  </si>
  <si>
    <t>000 0203 0000000 000 222</t>
  </si>
  <si>
    <t>000 1101 0000000 000 310</t>
  </si>
  <si>
    <t>000 0203 0000000 000 223</t>
  </si>
  <si>
    <t>Безвозмездные и безвозвратные перечисления за исключением государственным и муниципальным организациям</t>
  </si>
  <si>
    <t>Долгосрочная целевая программа "Развитие автомобильных дорог общего пользования регионального или межмуниципального значения  и местного значения в Иркутской области 2011-2014г.г."</t>
  </si>
  <si>
    <t>Ремонт автодорог</t>
  </si>
  <si>
    <t>02800</t>
  </si>
  <si>
    <t>000.0709.0020400.500.223</t>
  </si>
  <si>
    <t>000.0709.0020400.500.224</t>
  </si>
  <si>
    <t>000.0709.0020400.500.225</t>
  </si>
  <si>
    <t>000.0709.0020400.500.226</t>
  </si>
  <si>
    <t>000.0709.0020400.500.290</t>
  </si>
  <si>
    <t>000.0709.0020400.500.310</t>
  </si>
  <si>
    <t>000.0709.0020400.500.340</t>
  </si>
  <si>
    <t>Учебно-методические кабинеты,центральные бухгалтерии ,группы хозяйственного обслуживания ,учебные фильмотеки</t>
  </si>
  <si>
    <t>000.0709.4529900.001.000</t>
  </si>
  <si>
    <t>000.0709.4529900.001.211</t>
  </si>
  <si>
    <t>000.0709.4529900.001.212</t>
  </si>
  <si>
    <t>000.0709.4529900.001.213</t>
  </si>
  <si>
    <t>000.0709.4529900.001.221</t>
  </si>
  <si>
    <t>000.0709.4529900.001.222</t>
  </si>
  <si>
    <t>000.0709.4529900.001.223</t>
  </si>
  <si>
    <t>000.0709.4529900.001.224</t>
  </si>
  <si>
    <t>000.0709.4529900.001.225</t>
  </si>
  <si>
    <t>000.0709.4529900.001.226</t>
  </si>
  <si>
    <t>000.0709.4529900.001.290</t>
  </si>
  <si>
    <t>000.0709.4529900.001.310</t>
  </si>
  <si>
    <t>000.0709.4529900.001.340</t>
  </si>
  <si>
    <t>Субсидия на зарплату</t>
  </si>
  <si>
    <t>00008000000000000241</t>
  </si>
  <si>
    <t>субсидия торговля</t>
  </si>
  <si>
    <t>000.0114.5210000.500.000</t>
  </si>
  <si>
    <t>Другие вопросы в области национальной безопасности, правоохранительной деятельности</t>
  </si>
  <si>
    <t>0000314000000000000</t>
  </si>
  <si>
    <t>субвеция здравоохранения</t>
  </si>
  <si>
    <t>814</t>
  </si>
  <si>
    <t>00290</t>
  </si>
  <si>
    <t>00291</t>
  </si>
  <si>
    <t>00292</t>
  </si>
  <si>
    <t>00293</t>
  </si>
  <si>
    <t>Субсидия на поддержку и развитие учреждений дошкольного образования</t>
  </si>
  <si>
    <t>Субсидия энергосбережения район</t>
  </si>
  <si>
    <t>000.0701.4209900.242.226</t>
  </si>
  <si>
    <t>000.0701.4209900.244.290</t>
  </si>
  <si>
    <t>000.0114.5210000.500.211</t>
  </si>
  <si>
    <t>000.0114.5210000.500.212</t>
  </si>
  <si>
    <t>000.0114.5210000.500.213</t>
  </si>
  <si>
    <t>000.0114.5210000.500.221</t>
  </si>
  <si>
    <t>000.0114.5210000.500.222</t>
  </si>
  <si>
    <t>000.0114.5210000.500.223</t>
  </si>
  <si>
    <t>000.0114.5210000.500.224</t>
  </si>
  <si>
    <t>000.0114.5210000.500.225</t>
  </si>
  <si>
    <t>000.0114.5210000.500.226</t>
  </si>
  <si>
    <t>000.0114.5210000.500.290</t>
  </si>
  <si>
    <t>000.0114.5210000.500.310</t>
  </si>
  <si>
    <t>000.0114.5210000.500.340</t>
  </si>
  <si>
    <t xml:space="preserve">Субвенции местным бюджетам для осуществления органами местного самоуправления областных государственных полномочий </t>
  </si>
  <si>
    <t>000.0401.5210000.500.000</t>
  </si>
  <si>
    <t>000.0401.5210000.500.211</t>
  </si>
  <si>
    <t>000 0203 0000000 000 290</t>
  </si>
  <si>
    <t>Субвенция на гос.полномочия администрат.комиссии</t>
  </si>
  <si>
    <t>Субвенция нп гос.полномочия  администрат.комиссии</t>
  </si>
  <si>
    <t>Субвенция на гос.полномочия администр.комиссии</t>
  </si>
  <si>
    <t>Субсидия на выравнивание обеспеченности</t>
  </si>
  <si>
    <t>113</t>
  </si>
  <si>
    <t>на 01 декабря  2014 г.</t>
  </si>
  <si>
    <t>Административные комиссии госполномочия</t>
  </si>
  <si>
    <t>000 0113 0000000 000 340</t>
  </si>
  <si>
    <t xml:space="preserve">Административные комиссии </t>
  </si>
  <si>
    <t>Административные крмиссии</t>
  </si>
  <si>
    <t>Административные комиссии</t>
  </si>
  <si>
    <t>Долгосрочная целевая программа "Повышение эффективности бюджетных расходов Иркутской области на 2011-2014 годы"</t>
  </si>
  <si>
    <t>Выравнивание обеспеченности муниципальных районов (городских округов) Иркутской области в целях реализации ими отдельных расходных обязательств</t>
  </si>
  <si>
    <t>Обеспечение деятельности (оказания услуг) подведомственных учреждений</t>
  </si>
  <si>
    <t>000.0113.0029900.000.000</t>
  </si>
  <si>
    <t>000.0113.0029900.111.211</t>
  </si>
  <si>
    <t>000.0113.0029900.111.213</t>
  </si>
  <si>
    <t>000.0113.0029900.112.212</t>
  </si>
  <si>
    <t>000.0113.0029900.242.221</t>
  </si>
  <si>
    <t>000.0113.0029900.242.225</t>
  </si>
  <si>
    <t>000.0113.0029900.242.226</t>
  </si>
  <si>
    <t>000.0113.0029900.242.340</t>
  </si>
  <si>
    <t>000.0113.0029900.244.222</t>
  </si>
  <si>
    <t>000.0113.0029900.244.225</t>
  </si>
  <si>
    <t>000.0113.0029900.244.226</t>
  </si>
  <si>
    <t>000.0113.0029900.244.310</t>
  </si>
  <si>
    <t>000.0113.0029900.244.340</t>
  </si>
  <si>
    <t>000.0113.0029900.852.290</t>
  </si>
  <si>
    <t>000.0113.90А0600.244.340</t>
  </si>
  <si>
    <t>000.0401.6010104.000.000</t>
  </si>
  <si>
    <t>000.0401.6010104.121.211</t>
  </si>
  <si>
    <t>000.0401.6010104.122.212</t>
  </si>
  <si>
    <t>000.0401.6010104.121.213</t>
  </si>
  <si>
    <t>000.0401.6010104.242.221</t>
  </si>
  <si>
    <t>000.0401.6010104.244.221</t>
  </si>
  <si>
    <t>000.0401.6010104.244.222</t>
  </si>
  <si>
    <t>000.0401.6010104.244.223</t>
  </si>
  <si>
    <t>000.0401.6010104.244.224</t>
  </si>
  <si>
    <t>000.0401.6010104.244.225</t>
  </si>
  <si>
    <t>000.0401.6010104.242.226</t>
  </si>
  <si>
    <t>000.0401.6010104.244.290</t>
  </si>
  <si>
    <t>000.0401.6010104.242.310</t>
  </si>
  <si>
    <t>000.0401.6010104.244.310</t>
  </si>
  <si>
    <t>000.0401.6010104.242.340</t>
  </si>
  <si>
    <t>000.0401.6010104.244.340</t>
  </si>
  <si>
    <t>000.0409.7953600.810.242</t>
  </si>
  <si>
    <t>Долгосрочная муниципальная целевая программа "Содержание и ремонт автомобильных дорог общего пользования местного значения МО Мамско-Чуйского района Иркутской области"</t>
  </si>
  <si>
    <t>000.0412.3400400.810.242</t>
  </si>
  <si>
    <t>000.0412.5970203.810.242</t>
  </si>
  <si>
    <t>Долгосрочная муниципальная программа "Поддержка и развитие малого и среднего предпринимательства в МО Мамско-Чуйского района на 2012-2016 годы"с областного бюджета</t>
  </si>
  <si>
    <t>Долгосрочная муниципальная программа "Поддержка и развитие малого и среднего предпринимательства в МО Мамско-Чуйского района на 2012-2016 годы"с федерального бюджета</t>
  </si>
  <si>
    <t>000.0412.5975064.810.242</t>
  </si>
  <si>
    <t>000.0412.6010203.244.290</t>
  </si>
  <si>
    <t>000.0412.6030106.244.290</t>
  </si>
  <si>
    <t>000.0502.3510500.810.242</t>
  </si>
  <si>
    <t>000.0502.6030106.831.290</t>
  </si>
  <si>
    <t>000.0502.6110104.810.242</t>
  </si>
  <si>
    <t>000.0502.6140102.244.225</t>
  </si>
  <si>
    <t>000.0701.5110802.000.000</t>
  </si>
  <si>
    <t>000.0701.5110802.111.211</t>
  </si>
  <si>
    <t>000.0701.5110802.111.213</t>
  </si>
  <si>
    <t>000.0701.5110802.244.340</t>
  </si>
  <si>
    <t>000.0701.6170303.244.226</t>
  </si>
  <si>
    <t>000.0701.60Л0102.000.000</t>
  </si>
  <si>
    <t>000.0701.60Л0102.244.223</t>
  </si>
  <si>
    <t>000.0701.5111700.243.225</t>
  </si>
  <si>
    <t>000.0701.5111700.000.000</t>
  </si>
  <si>
    <t>Государственная программа Иркутской области "Развитие образования Иркутской области" подпрограмма "Дошкольное, общее и дополнительное образование на 2014-2018 годы" основное мероприятие "Капитальные ремонты образовательных организаций Иркутской области на 2014-2018 годы"</t>
  </si>
  <si>
    <t>000.0701.6030106.244.223</t>
  </si>
  <si>
    <t>000.0701.6030106.000.000</t>
  </si>
  <si>
    <t>000.0702.5110902.000.000</t>
  </si>
  <si>
    <t>000.0702.5110902.111.211</t>
  </si>
  <si>
    <t>000.0702.5110902.111.213</t>
  </si>
  <si>
    <t>000.0702.5110902.244.310</t>
  </si>
  <si>
    <t>000.0702.60Л0102.000.000</t>
  </si>
  <si>
    <t>000.0702.60Л0102.111.211</t>
  </si>
  <si>
    <t>000.0702.5110903.000.000</t>
  </si>
  <si>
    <t>Осуществление расходных обязательств органов МСУ муниципальных образований Иркутской области по вопросам местного значения по приобретению или изготовлению бланков документов об образовании</t>
  </si>
  <si>
    <t>000.0702.5110903.244.310</t>
  </si>
  <si>
    <t>000.0702.6170303.000.000</t>
  </si>
  <si>
    <t>000.0702.6170303.244.226</t>
  </si>
  <si>
    <t>000.0702.6030106.000.000</t>
  </si>
  <si>
    <t>000.0702.6030106.111.211</t>
  </si>
  <si>
    <t>000.0702.6030106.111.213</t>
  </si>
  <si>
    <t>000.0702.6030106.244.223</t>
  </si>
  <si>
    <t>000.0702.7953400.000.000</t>
  </si>
  <si>
    <t>000.0702.7953400.111.211</t>
  </si>
  <si>
    <t>000.0702.7953400.111.213</t>
  </si>
  <si>
    <t>Долгосрочная муниципальная программа "Организация временной занятости несовершеннолетних граждан в муниципальном образовании Мамско-Чуйского района на 2013-2015 годы"</t>
  </si>
  <si>
    <t>000.0707.4320102.244.225</t>
  </si>
  <si>
    <t>000.0707.5340200.244.340</t>
  </si>
  <si>
    <t>000.0707.5340200.000.000</t>
  </si>
  <si>
    <t>000.0709.60Л0102.244.223</t>
  </si>
  <si>
    <t>000.0709.6170303.244.226</t>
  </si>
  <si>
    <t>Прочие мероприятия на создание условий для обеспечения энергосбережения и повышения энергетической эффективности в бюджетной сфере Иркутской области</t>
  </si>
  <si>
    <t>000.0709.6030106.244.223</t>
  </si>
  <si>
    <t>000.0709.6030106.000.000</t>
  </si>
  <si>
    <t>000.0709.6030106.111.211</t>
  </si>
  <si>
    <t>000.0709.6030106.111.213</t>
  </si>
  <si>
    <t>000.0709.6030106.121.211</t>
  </si>
  <si>
    <t>000.0709.6030106.121.213</t>
  </si>
  <si>
    <t>000.0801.5510200.000.000</t>
  </si>
  <si>
    <t>000.0801.5510200.242.310</t>
  </si>
  <si>
    <t>000.0801.5510200.244.310</t>
  </si>
  <si>
    <t>000.0801.60Л 0102.000.000</t>
  </si>
  <si>
    <t>000.0801.60Л0102.111.211</t>
  </si>
  <si>
    <t>000.0801.60Л0102.111.213</t>
  </si>
  <si>
    <t>000.0801.60Л0102.244.223</t>
  </si>
  <si>
    <t>000.0801.6030106.000.000</t>
  </si>
  <si>
    <t>000.0801.6030106.111.211</t>
  </si>
  <si>
    <t>000.0801.6030106.111.213</t>
  </si>
  <si>
    <t>000.0801.6030106.244.223</t>
  </si>
  <si>
    <t>000.0801.7953800.000.000</t>
  </si>
  <si>
    <t>000.0801.7953800.244.222</t>
  </si>
  <si>
    <t>000.0801.7953800.244.226</t>
  </si>
  <si>
    <t>000.0801.7953800.244.310</t>
  </si>
  <si>
    <t>Долгосрочная муниципальная программа "Организация временной занятости несовершеннолетних граждан в МО Мамско-Чуйского района на 2013-2015 годы"</t>
  </si>
  <si>
    <t>000.0804.60Л0106.000.000</t>
  </si>
  <si>
    <t>000.0804.60Л0102.111.211</t>
  </si>
  <si>
    <t>000.0804.60Л0102.111.213</t>
  </si>
  <si>
    <t>000.0804.60Л0102.244.223</t>
  </si>
  <si>
    <t>000.0804.6030106.000.000</t>
  </si>
  <si>
    <t>000.0804.6030106.111.211</t>
  </si>
  <si>
    <t>000.0804.6030106.111.213</t>
  </si>
  <si>
    <t>000.0909.7953900.000.000</t>
  </si>
  <si>
    <t>000.0909.7953900.112.212</t>
  </si>
  <si>
    <t>Муниципальная целевая программа "Создание условий для оказания медицинской помощи населению на территории муниципального района на 2014-2017 годы"</t>
  </si>
  <si>
    <t>000.1003.5330110.000.000</t>
  </si>
  <si>
    <t>000.1003.5330110.121.211</t>
  </si>
  <si>
    <t>000.1003.5330110.122.212</t>
  </si>
  <si>
    <t>000.1003.5330110.121.213</t>
  </si>
  <si>
    <t>000.1003.5330110.242.221</t>
  </si>
  <si>
    <t>000.1003.5330110.244.221</t>
  </si>
  <si>
    <t>000.1003.5330110.244.223</t>
  </si>
  <si>
    <t>000.1003.5330110.242.224</t>
  </si>
  <si>
    <t>000.1003.5330110.242.226</t>
  </si>
  <si>
    <t>000.1003.5330110.314.226</t>
  </si>
  <si>
    <t>000.1003.5330110.242.340</t>
  </si>
  <si>
    <t>000.1003.5330110.244.340</t>
  </si>
  <si>
    <t>000.1003.5330111.000.000</t>
  </si>
  <si>
    <t>000.1003.5330111.244.226</t>
  </si>
  <si>
    <t>000.1003.5330111.313.262</t>
  </si>
  <si>
    <t>000.1003.5350502.000.000</t>
  </si>
  <si>
    <t>000.1003.5350502.323.340</t>
  </si>
  <si>
    <t>000.1006.5351602.000.000</t>
  </si>
  <si>
    <t>000.1006.5351602.121.211</t>
  </si>
  <si>
    <t>000.1006.5351602.122.212</t>
  </si>
  <si>
    <t>000.1006.5351602.121.213</t>
  </si>
  <si>
    <t>000.1006.5351602.242.221</t>
  </si>
  <si>
    <t>000.1006.5351602.244.221</t>
  </si>
  <si>
    <t>000.1006.5351602.244.222</t>
  </si>
  <si>
    <t>000.1006.5351602.244.223</t>
  </si>
  <si>
    <t>000.1006.5351602.244.224</t>
  </si>
  <si>
    <t>000.1006.5351602.242.226</t>
  </si>
  <si>
    <t>000.1006.5351602.244.226</t>
  </si>
  <si>
    <t>000.1006.5351602.244.290</t>
  </si>
  <si>
    <t>000.1006.5351602.242.310</t>
  </si>
  <si>
    <t>000.1006.5351602.244.310</t>
  </si>
  <si>
    <t>000.1006.5351602.242.340</t>
  </si>
  <si>
    <t>000.1006.5351602.244.340</t>
  </si>
  <si>
    <t>000.1101.6030106.000.000</t>
  </si>
  <si>
    <t>000.1101.6030106.244.310</t>
  </si>
  <si>
    <t>000.1400.000000.000.000</t>
  </si>
  <si>
    <t>000.1401.60Л0102.000.000</t>
  </si>
  <si>
    <t>000.1401.5160130.511.251</t>
  </si>
  <si>
    <t>Реализация мероприятий перечня проектов народных инициатив</t>
  </si>
  <si>
    <t>Осуществление органами МСУ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нарушениях, предусмотренных отдельными законами Иркутской области об административной ответственности</t>
  </si>
  <si>
    <t>000.0203.6035118.500.211</t>
  </si>
  <si>
    <t>000.0203.6035118.121.211</t>
  </si>
  <si>
    <t>000.0203.6035118.500.212</t>
  </si>
  <si>
    <t>000.0203.6035118.121.213</t>
  </si>
  <si>
    <t>000.0203.6035118.242.221</t>
  </si>
  <si>
    <t>000.0203.6035118.500.222</t>
  </si>
  <si>
    <t>000.0203.6035118.500.223</t>
  </si>
  <si>
    <t>000.0203.6035118.500.224</t>
  </si>
  <si>
    <t>000.0203.6035118.500.225</t>
  </si>
  <si>
    <t>000.0203.6035118.244.226</t>
  </si>
  <si>
    <t>000.0203.6035118.500.290</t>
  </si>
  <si>
    <t>000.0203.6035118.244.310</t>
  </si>
  <si>
    <t>000.0203.6035118.244.340</t>
  </si>
  <si>
    <t>000.0309.2180100.244.222</t>
  </si>
  <si>
    <t>000.0310.2479900.244.222</t>
  </si>
  <si>
    <t>000.0310.2479900.244.226</t>
  </si>
  <si>
    <t>000.0310.2749900.242.340</t>
  </si>
  <si>
    <t>000.0310.2479900.244.310</t>
  </si>
  <si>
    <t>000.0310.2479900.242.310</t>
  </si>
  <si>
    <t>000.0409.7950100.810.226</t>
  </si>
  <si>
    <t>000.0409.7950100.810.242</t>
  </si>
  <si>
    <t>000.0501.3510500.244.340</t>
  </si>
  <si>
    <t>000.0501.6010106.244.310</t>
  </si>
  <si>
    <t>000.0502.6010106.244.340</t>
  </si>
  <si>
    <t>000.0502.6010106.244.310</t>
  </si>
  <si>
    <t>000.0503.0000000.000.000</t>
  </si>
  <si>
    <t>000.0503.6000100.810.242</t>
  </si>
  <si>
    <t>000.0503.6000200.810.242</t>
  </si>
  <si>
    <t>000.0503.6000200.244.225</t>
  </si>
  <si>
    <t>000.0503.6000400.810.242</t>
  </si>
  <si>
    <t>000.0503.6000500.810.242</t>
  </si>
  <si>
    <t>000.0503.6000500.244.225</t>
  </si>
  <si>
    <t>000.0503.6010106.000.000</t>
  </si>
  <si>
    <t>000.0503.6010106.244.310</t>
  </si>
  <si>
    <t>000.1403.5160100.540.251</t>
  </si>
  <si>
    <t>000.0104.6010106.244.340</t>
  </si>
  <si>
    <t>000.0106.6030106.121.211</t>
  </si>
  <si>
    <t>000.0702.60Л0102.244.223</t>
  </si>
  <si>
    <t>000.0113.000000.000.000</t>
  </si>
  <si>
    <t>000.0106.0020400.000.000</t>
  </si>
  <si>
    <t>000.0104.0020400.000.000</t>
  </si>
  <si>
    <t>на 1  января 2015г.</t>
  </si>
  <si>
    <t>000.0104.6170302.244.226</t>
  </si>
  <si>
    <t>000.0113.0029900.242.310</t>
  </si>
  <si>
    <t>000.0113.6030106.121.213</t>
  </si>
  <si>
    <t>000.0701.4209900.243.225</t>
  </si>
  <si>
    <t>000.0701.4209900.242.310</t>
  </si>
  <si>
    <t>000.0701.4209900.242.340</t>
  </si>
  <si>
    <t>0000701.6170302.000.000</t>
  </si>
  <si>
    <t>000.0701.6170302.244.225</t>
  </si>
  <si>
    <t>000.0801.5510100.000.000</t>
  </si>
  <si>
    <t>000.0801.5510100.242.310</t>
  </si>
  <si>
    <t>000.0801.5510100.244.310</t>
  </si>
  <si>
    <t>Дома  культуры</t>
  </si>
  <si>
    <t>000.0801.6170302.244.226</t>
  </si>
  <si>
    <t>000.0801.6170302.000.000</t>
  </si>
  <si>
    <t>000.0804.4529900.242.310</t>
  </si>
  <si>
    <t>000,1105,5129700,244,222</t>
  </si>
  <si>
    <t>000.0502.6170303.244.226</t>
  </si>
  <si>
    <t>000.0501.3500500.244.340</t>
  </si>
  <si>
    <t>000.0501.6010106.244.340</t>
  </si>
  <si>
    <t>000.0501.7950200.244.340</t>
  </si>
  <si>
    <t>000.011390А0600244340</t>
  </si>
  <si>
    <t>000.0203.6035118.244.223</t>
  </si>
  <si>
    <t>000.0203.6035118.000.222</t>
  </si>
  <si>
    <t>000.0203.6035118.244,226</t>
  </si>
  <si>
    <t>000.0309.6010106.244.310</t>
  </si>
  <si>
    <t>55838,54</t>
  </si>
  <si>
    <t>606100</t>
  </si>
  <si>
    <t>000.0502.3400722.244.310</t>
  </si>
  <si>
    <t>000.0503.6000100.244.223</t>
  </si>
  <si>
    <t>000.0503.6000100.244.225</t>
  </si>
  <si>
    <t>000.0503.6000200.242.226</t>
  </si>
  <si>
    <t>000.0503.6000400.244.222</t>
  </si>
  <si>
    <t>000.0503.6000400.244.225</t>
  </si>
  <si>
    <t>000.0503.6010106.244.340</t>
  </si>
  <si>
    <t>000.0801.6010106.244.340</t>
  </si>
  <si>
    <t>000,0309,6010106,244,310</t>
  </si>
  <si>
    <t>Софинансирование с местного бюджета Долгосрочная муниципальная программа "Поддержка и развитие малого и среднего предпринимательства в МО Мамско-Чуйского района на 2012-2016 годы"с федерального бюджета</t>
  </si>
  <si>
    <t>Софинансирование торговлиВыравнивание обеспеченности муниципальных районов (городских округов) Иркутской области в целях реализации ими отдельных расходных обязательств</t>
  </si>
  <si>
    <t>000 1 06 06033 13 0000 110</t>
  </si>
  <si>
    <t>000 1 06 01030 13 0000 110</t>
  </si>
  <si>
    <t>000 1 06 06043 13 0000 110</t>
  </si>
  <si>
    <t>000 1 11 05035 13 0000 120</t>
  </si>
  <si>
    <t>000.0401.5210000.500.212</t>
  </si>
  <si>
    <t>000.0401.5210000.500.213</t>
  </si>
  <si>
    <t>000.0401.5210000.500.221</t>
  </si>
  <si>
    <t>000.0401.5210000.500.222</t>
  </si>
  <si>
    <t>000.0401.5210000.500.223</t>
  </si>
  <si>
    <t>000.0401.5210000.500.224</t>
  </si>
  <si>
    <t>000.0401.5210000.500.225</t>
  </si>
  <si>
    <t>000.0401.5210000.500.226</t>
  </si>
  <si>
    <t>000.0401.5210000.500.290</t>
  </si>
  <si>
    <t>000.0401.5210000.500.310</t>
  </si>
  <si>
    <t>000.0401.5210000.500.340</t>
  </si>
  <si>
    <t xml:space="preserve">Районная целевая программ на 2008 год  </t>
  </si>
  <si>
    <t>000.0709.7950000.500.000</t>
  </si>
  <si>
    <t>000.0709.7950000.500.212</t>
  </si>
  <si>
    <t>000.0709.7950000.500.226</t>
  </si>
  <si>
    <t>июня</t>
  </si>
  <si>
    <t>2014 г.</t>
  </si>
  <si>
    <t>000.0709.7950000.500.340</t>
  </si>
  <si>
    <t>000.0806.7950000.500.000</t>
  </si>
  <si>
    <t>000.0806.7950000.500.226</t>
  </si>
  <si>
    <t>000.0806.7950000.500.340</t>
  </si>
  <si>
    <t xml:space="preserve">Районная целевая программа на 2008 год </t>
  </si>
  <si>
    <t xml:space="preserve">Районная целевая программа на 2008г </t>
  </si>
  <si>
    <t>000.0910.7950000.500.000</t>
  </si>
  <si>
    <t>000.0910.7950000.500.212</t>
  </si>
  <si>
    <t>000.0910.7950000.500.262</t>
  </si>
  <si>
    <t>000.0910.7950000.500.340</t>
  </si>
  <si>
    <t>000.1006.5210000.500.000</t>
  </si>
  <si>
    <t>000.1006.5210000.500.211</t>
  </si>
  <si>
    <t>000.1006.5210000.500.212</t>
  </si>
  <si>
    <t>000.1006.5210000.500.213</t>
  </si>
  <si>
    <t>000.1006.5210000.500.221</t>
  </si>
  <si>
    <t>000.1006.5210000.500.222</t>
  </si>
  <si>
    <t>000.1006.5210000.500.223</t>
  </si>
  <si>
    <t>000.1006.5210000.500.226</t>
  </si>
  <si>
    <t>000.1006.5210000.500.310</t>
  </si>
  <si>
    <t>000.1006.5210000.500.340</t>
  </si>
  <si>
    <t>000.1006.7950000.500.000</t>
  </si>
  <si>
    <t>000.1006.7950000.500.212</t>
  </si>
  <si>
    <t>Оздоровление детей</t>
  </si>
  <si>
    <t>04200</t>
  </si>
  <si>
    <t>06310</t>
  </si>
  <si>
    <t>Субсидии, предоставляемые гражданам на оплату жилого помещения и коммунальных услуг</t>
  </si>
  <si>
    <t>000.1006.7950000.500.226</t>
  </si>
  <si>
    <t>000.1006.7950000.500.262</t>
  </si>
  <si>
    <t>Районная целевая программа на 2008 год "</t>
  </si>
  <si>
    <t>госполномочия присяжные</t>
  </si>
  <si>
    <t>831</t>
  </si>
  <si>
    <t>Дата</t>
  </si>
  <si>
    <t>Мамско-Чуйский муниципальный район</t>
  </si>
  <si>
    <t>по ОКПО</t>
  </si>
  <si>
    <t>Всего:</t>
  </si>
  <si>
    <t>в т.ч. средства федерального бюджета</t>
  </si>
  <si>
    <t>00200</t>
  </si>
  <si>
    <t>март</t>
  </si>
  <si>
    <t>госполномочия</t>
  </si>
  <si>
    <t>апрель</t>
  </si>
  <si>
    <t>03000</t>
  </si>
  <si>
    <t xml:space="preserve">Обеспечение текущей деятельности                                                                                                                                                                                                                              </t>
  </si>
  <si>
    <t>000 0409 0000000 000 242</t>
  </si>
  <si>
    <t>Увеличение стоимости ОСновных средств</t>
  </si>
  <si>
    <t>000 0309 0000000 000 310</t>
  </si>
  <si>
    <t>000 0501 0000000 000 242</t>
  </si>
  <si>
    <t>000 0501 0000000 000 226</t>
  </si>
  <si>
    <t>000 0501 0000000 000 310</t>
  </si>
  <si>
    <t>000 0801 0000000 000 222</t>
  </si>
  <si>
    <t>824</t>
  </si>
  <si>
    <t>Администрация</t>
  </si>
  <si>
    <t>Финуправления</t>
  </si>
  <si>
    <t>КУИ</t>
  </si>
  <si>
    <t>РОО</t>
  </si>
  <si>
    <t>ДМШ</t>
  </si>
  <si>
    <t>Отдел культуры</t>
  </si>
  <si>
    <t>ЦРБ</t>
  </si>
  <si>
    <t>24гр</t>
  </si>
  <si>
    <t>План</t>
  </si>
  <si>
    <t>июнь</t>
  </si>
  <si>
    <t>.</t>
  </si>
  <si>
    <t>000 2 02 04999 10 0000 151</t>
  </si>
  <si>
    <t>Свод район</t>
  </si>
  <si>
    <t>Исполнение</t>
  </si>
  <si>
    <t>Свод консолидированный район</t>
  </si>
  <si>
    <t>сентябрь</t>
  </si>
  <si>
    <t>госполномочия (архив)(досуг)библ</t>
  </si>
  <si>
    <t>Субсидия на подг.к зиме (ремонт)</t>
  </si>
  <si>
    <t>00001000000000000262</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</si>
  <si>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</si>
  <si>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5.8-Конс. бюджет РФ итого</t>
  </si>
  <si>
    <t xml:space="preserve">               Дата</t>
  </si>
  <si>
    <t xml:space="preserve">Наименование финансового органа; органа, осуществляющего </t>
  </si>
  <si>
    <t>кассовое обслуживание; органа казначейства;</t>
  </si>
  <si>
    <t xml:space="preserve">главного распорядителя, распорядителя, получателя бюджетных средств,   </t>
  </si>
  <si>
    <t xml:space="preserve">главного администратора, администратора доходов бюджета,            </t>
  </si>
  <si>
    <t xml:space="preserve">главного администратора, администратора источников        </t>
  </si>
  <si>
    <t/>
  </si>
  <si>
    <t>финансирования дефицита бюджета</t>
  </si>
  <si>
    <t>Глава по БК</t>
  </si>
  <si>
    <t xml:space="preserve">Наименование бюджета (публично-правового образования ) </t>
  </si>
  <si>
    <t>Наименование вида деятельности</t>
  </si>
  <si>
    <t xml:space="preserve">       Код счета бюджетного учета</t>
  </si>
  <si>
    <t>Периодичность: месячная, годовая</t>
  </si>
  <si>
    <t xml:space="preserve">Единица измерения:  руб. </t>
  </si>
  <si>
    <t>Главы</t>
  </si>
  <si>
    <t>элемента бюджета</t>
  </si>
  <si>
    <t>по БК</t>
  </si>
  <si>
    <t xml:space="preserve">254013700  </t>
  </si>
  <si>
    <t>804</t>
  </si>
  <si>
    <t xml:space="preserve"> 00020203024050000120551660</t>
  </si>
  <si>
    <t xml:space="preserve"> 00020202999050000120551660</t>
  </si>
  <si>
    <t xml:space="preserve"> 00020203022050000120551660</t>
  </si>
  <si>
    <t xml:space="preserve"> 00020203026050000120551660</t>
  </si>
  <si>
    <t xml:space="preserve"> 00020204999050000120551660</t>
  </si>
  <si>
    <t xml:space="preserve"> 00020203021050000120551660</t>
  </si>
  <si>
    <t xml:space="preserve"> 00020203999050000120551660</t>
  </si>
  <si>
    <t xml:space="preserve"> 00020201001050000120551660</t>
  </si>
  <si>
    <t xml:space="preserve"> 00020201001100000120551660</t>
  </si>
  <si>
    <t xml:space="preserve"> 00020201003050000120551660</t>
  </si>
  <si>
    <t xml:space="preserve"> 00020202999100000120551660</t>
  </si>
  <si>
    <t xml:space="preserve"> 00020203015100000120551660</t>
  </si>
  <si>
    <t xml:space="preserve"> 00020203024100000120551660</t>
  </si>
  <si>
    <t>Итого:</t>
  </si>
  <si>
    <t>X</t>
  </si>
  <si>
    <t xml:space="preserve"> X</t>
  </si>
  <si>
    <t>в том числе по</t>
  </si>
  <si>
    <t>номеру (коду) счета:</t>
  </si>
  <si>
    <t>25401370</t>
  </si>
  <si>
    <t xml:space="preserve"> 120551660</t>
  </si>
  <si>
    <t>денежные расчеты</t>
  </si>
  <si>
    <t xml:space="preserve">Руководитель      ________________ </t>
  </si>
  <si>
    <t xml:space="preserve">Главный бухгалтер    ________________ </t>
  </si>
  <si>
    <t xml:space="preserve">                                  (подпись)                                    (расшифровка подписи)</t>
  </si>
  <si>
    <t xml:space="preserve">                                          (подпись)                                 (расшифровка подписи)</t>
  </si>
  <si>
    <t>`</t>
  </si>
  <si>
    <t xml:space="preserve">  "       "  ___________________ 20    г. </t>
  </si>
  <si>
    <t>Субвенциий на обеспечение жилыми помещениями детей-сирот, детей, оставшихся без попечения родителей</t>
  </si>
  <si>
    <t>Субвенция на классное руководство</t>
  </si>
  <si>
    <t>Субвенция на образование</t>
  </si>
  <si>
    <t>Воинский учет поселениям</t>
  </si>
  <si>
    <t>Дотация в поселениям</t>
  </si>
  <si>
    <t>5.8-Конс. бюджет РФ  итого</t>
  </si>
  <si>
    <t xml:space="preserve">000 202 04025 05 0000 151 </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</si>
  <si>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t>
  </si>
  <si>
    <t>263</t>
  </si>
  <si>
    <t>00001130000000000000</t>
  </si>
  <si>
    <t>000 2 02 01003 10 0000 151</t>
  </si>
  <si>
    <t>00013010000000000000</t>
  </si>
  <si>
    <t>00009090000000000000</t>
  </si>
  <si>
    <t>00009090000000000222</t>
  </si>
  <si>
    <t>000 1 05 01012 01 0000 110</t>
  </si>
  <si>
    <t>000 1 05 01022 01 0000 110</t>
  </si>
  <si>
    <t>000 1 05 02010 02 0000 110</t>
  </si>
  <si>
    <t>000 1 05 02020 02 0000 110</t>
  </si>
  <si>
    <t>00009090000000000226</t>
  </si>
  <si>
    <t>00009090000000000340</t>
  </si>
  <si>
    <t>13000</t>
  </si>
  <si>
    <t>00013010000000000231</t>
  </si>
  <si>
    <t>межбюдж. Трансферты</t>
  </si>
  <si>
    <t>Аредная плата за пользованием имущества</t>
  </si>
  <si>
    <t>Аредная плата за пользованием имуществом</t>
  </si>
  <si>
    <t>Косоротов П.А.</t>
  </si>
  <si>
    <t>Захарова М.В.</t>
  </si>
  <si>
    <t>Зябрева Н.В.</t>
  </si>
  <si>
    <t>увеличение стоимости матреиальных запасов</t>
  </si>
  <si>
    <t xml:space="preserve"> </t>
  </si>
  <si>
    <t>Мамско-Чуйский район</t>
  </si>
  <si>
    <t>Комунальные услуги</t>
  </si>
  <si>
    <t>130101810</t>
  </si>
  <si>
    <t>130405810</t>
  </si>
  <si>
    <t>000 2 02 01999 10 0000 151</t>
  </si>
  <si>
    <t>Прочие дотации бюджетам поселений</t>
  </si>
  <si>
    <t xml:space="preserve">                                                                           </t>
  </si>
  <si>
    <t>с н.года</t>
  </si>
  <si>
    <t>Организационно-воспитательная работа с молодежью</t>
  </si>
  <si>
    <t xml:space="preserve">Мероприятия по организации оздоровительной коипании детей  за счет местного бюджета </t>
  </si>
  <si>
    <t>Остатки целевых средств на н.м.</t>
  </si>
  <si>
    <t>Остатки целевых средств</t>
  </si>
  <si>
    <t xml:space="preserve">                 СПРАВКА</t>
  </si>
  <si>
    <t xml:space="preserve">           по консолидируемым  расчетам</t>
  </si>
  <si>
    <t xml:space="preserve">Форма по ОКУД   </t>
  </si>
  <si>
    <t>0503125</t>
  </si>
  <si>
    <t xml:space="preserve">Дата   </t>
  </si>
  <si>
    <t>Наименование органа, организующего исполнение бюджета; органа,</t>
  </si>
  <si>
    <t>осуществляющего кассовое обслуживание исполнения бюджета;</t>
  </si>
  <si>
    <t xml:space="preserve">главного распорядителя (распорядителя), получателя,   </t>
  </si>
  <si>
    <t>администратора поступлений             ___________________________________________________________________________________________________</t>
  </si>
  <si>
    <t xml:space="preserve">по ОКПО   </t>
  </si>
  <si>
    <t xml:space="preserve">по ОКАТО   </t>
  </si>
  <si>
    <t>00005000000000000222</t>
  </si>
  <si>
    <t xml:space="preserve">Код по ППП  </t>
  </si>
  <si>
    <t xml:space="preserve">Единица измерения:  руб </t>
  </si>
  <si>
    <t xml:space="preserve">по ОКЕИ   </t>
  </si>
  <si>
    <t>383</t>
  </si>
  <si>
    <t>Контрагент</t>
  </si>
  <si>
    <t>Номер счета</t>
  </si>
  <si>
    <t>Сумма</t>
  </si>
  <si>
    <t>Код корреспонди-</t>
  </si>
  <si>
    <t>наименование</t>
  </si>
  <si>
    <t>код</t>
  </si>
  <si>
    <t>бюджетного учета</t>
  </si>
  <si>
    <t>по дебету</t>
  </si>
  <si>
    <t>по кредиту</t>
  </si>
  <si>
    <t xml:space="preserve">рующего счета </t>
  </si>
  <si>
    <t xml:space="preserve">по </t>
  </si>
  <si>
    <t>по</t>
  </si>
  <si>
    <t>элемента</t>
  </si>
  <si>
    <t xml:space="preserve">бюджетного </t>
  </si>
  <si>
    <t>ППП</t>
  </si>
  <si>
    <t>ОКАТО</t>
  </si>
  <si>
    <t>бюджета</t>
  </si>
  <si>
    <t>учета</t>
  </si>
  <si>
    <t>7</t>
  </si>
  <si>
    <t>8</t>
  </si>
  <si>
    <t xml:space="preserve">Итого   </t>
  </si>
  <si>
    <t xml:space="preserve">            в том числе по номеру (коду) счета:   </t>
  </si>
  <si>
    <t xml:space="preserve">из них:   </t>
  </si>
  <si>
    <t xml:space="preserve">денежные расчеты   </t>
  </si>
  <si>
    <t xml:space="preserve">неденежные расчеты   </t>
  </si>
  <si>
    <t xml:space="preserve">                                  (подпись)                          (расшифровка подписи)</t>
  </si>
  <si>
    <t xml:space="preserve">                                          (подпись)                     (расшифровка подписи)</t>
  </si>
  <si>
    <t xml:space="preserve">Наименование вида деятельности  </t>
  </si>
  <si>
    <t xml:space="preserve">Наименование бюджета (публично-правового образования )       </t>
  </si>
  <si>
    <t>02</t>
  </si>
  <si>
    <t>121002151</t>
  </si>
  <si>
    <t xml:space="preserve"> Код счета бюджетного учета</t>
  </si>
  <si>
    <t xml:space="preserve">Руководитель      ______________             </t>
  </si>
  <si>
    <t xml:space="preserve">Косоротов П.А. </t>
  </si>
  <si>
    <t xml:space="preserve">Главный бухгалтер    ________________       </t>
  </si>
  <si>
    <r>
      <t xml:space="preserve">Периодичность: </t>
    </r>
    <r>
      <rPr>
        <u/>
        <sz val="8"/>
        <rFont val="Arial CYR"/>
        <charset val="204"/>
      </rPr>
      <t>месячная,</t>
    </r>
    <r>
      <rPr>
        <sz val="8"/>
        <rFont val="Arial Cyr"/>
        <family val="2"/>
        <charset val="204"/>
      </rPr>
      <t xml:space="preserve"> квартальная</t>
    </r>
  </si>
  <si>
    <t>Остатки на конец периода 08000000000000</t>
  </si>
  <si>
    <t xml:space="preserve">Результат исполнения бюджета (дефицит "--", профицит "+") </t>
  </si>
  <si>
    <t>гр 4,5</t>
  </si>
  <si>
    <t>гр 12,13</t>
  </si>
  <si>
    <t>4;5</t>
  </si>
  <si>
    <t>12;13</t>
  </si>
  <si>
    <t>00010000000000000212</t>
  </si>
  <si>
    <t>Расходы 100</t>
  </si>
  <si>
    <t>исполнение</t>
  </si>
  <si>
    <t>Итого расходов 96 00 000..</t>
  </si>
  <si>
    <t>22500</t>
  </si>
  <si>
    <t>22600</t>
  </si>
  <si>
    <t>00010000000000000222</t>
  </si>
  <si>
    <t>00020201003050000151</t>
  </si>
  <si>
    <t>00010020000000000223</t>
  </si>
  <si>
    <t>00010020000000000000</t>
  </si>
  <si>
    <t>Остатки на начало года</t>
  </si>
  <si>
    <t>Доходы итого 850 0000..</t>
  </si>
  <si>
    <t>Код формы по ОКУД</t>
  </si>
  <si>
    <t>0503377</t>
  </si>
  <si>
    <t xml:space="preserve">Наименование бюджета: </t>
  </si>
  <si>
    <t>Код</t>
  </si>
  <si>
    <t>Сумма, руб</t>
  </si>
  <si>
    <t>Субвенция на обеспечение граждан жильем. Уволенных с военной службы( службы и приравненных к ним лиц)</t>
  </si>
  <si>
    <t xml:space="preserve">000 2 02 03077 10 0000 151 </t>
  </si>
  <si>
    <t xml:space="preserve">Основные цели </t>
  </si>
  <si>
    <t>строки</t>
  </si>
  <si>
    <t>011</t>
  </si>
  <si>
    <t>900</t>
  </si>
  <si>
    <t>Финуправление</t>
  </si>
  <si>
    <t xml:space="preserve">Итого доходов </t>
  </si>
  <si>
    <t>00087000000000000000</t>
  </si>
  <si>
    <t xml:space="preserve">           Сведения</t>
  </si>
  <si>
    <t xml:space="preserve"> об использовании информационно - коммуникационных технологий</t>
  </si>
  <si>
    <t>000 1 11 05013 05 0000 120</t>
  </si>
  <si>
    <t xml:space="preserve">                                                                                                                                                                              </t>
  </si>
  <si>
    <t>000 1 09 07053 05 0000 110</t>
  </si>
  <si>
    <t>000 1 11 05013 10 0000 120</t>
  </si>
  <si>
    <t>Субвенция на составление списков присяжных заседателей</t>
  </si>
  <si>
    <t xml:space="preserve">  в консолидированном бюджете</t>
  </si>
  <si>
    <t>(консолидированный бюджет субъекта Российской Федерации;  консолидированный бюджет субъекта</t>
  </si>
  <si>
    <t>Российской Федерации и территориального государственного внебюджетного фонда)</t>
  </si>
  <si>
    <t>произведенных расходов</t>
  </si>
  <si>
    <t xml:space="preserve">1. Проектирование прикладных систем и информационно-коммуникационной инфраструктуры, всего </t>
  </si>
  <si>
    <t>в том числе:</t>
  </si>
  <si>
    <t>разработка технической документации</t>
  </si>
  <si>
    <t>разработка нормативных правовых актов</t>
  </si>
  <si>
    <t>разработка прочих документов</t>
  </si>
  <si>
    <t xml:space="preserve">2.Разработка (доработка) программного обеспечения, всего </t>
  </si>
  <si>
    <t>020</t>
  </si>
  <si>
    <t>разработка программного обеспечения (приобретение исключительных прав)</t>
  </si>
  <si>
    <t>021</t>
  </si>
  <si>
    <t>доработка специализированного программного обеспечения прикладных систем</t>
  </si>
  <si>
    <t>022</t>
  </si>
  <si>
    <t>3. Капитальные вложения в объекты информационно-коммуникационной инфраструктуры, всего</t>
  </si>
  <si>
    <t>030</t>
  </si>
  <si>
    <t>строительство специализированных зданий (помещений) для размещения технических средств и персонала</t>
  </si>
  <si>
    <t>031</t>
  </si>
  <si>
    <t>иные капитальные вложения</t>
  </si>
  <si>
    <t>032</t>
  </si>
  <si>
    <t>4. Приобретение оборудования и предустановленного программного обеспечения, всего</t>
  </si>
  <si>
    <t>040</t>
  </si>
  <si>
    <t>000.0801.4419900.244.222</t>
  </si>
  <si>
    <t>000.0801.4429900.242.310</t>
  </si>
  <si>
    <t>000.0104.0020400.244.223</t>
  </si>
  <si>
    <t>000.0104.0020400.242.225</t>
  </si>
  <si>
    <t>000.0104.0020400.241.226</t>
  </si>
  <si>
    <t>000.0412.3400400.244.242</t>
  </si>
  <si>
    <t>000.0501,0980201.244.222</t>
  </si>
  <si>
    <t>000.0501,0980201.244.226</t>
  </si>
  <si>
    <t>000.0501.3500100.244.340</t>
  </si>
  <si>
    <t>000.0502.3510500.244.226</t>
  </si>
  <si>
    <t>000.0503.5930000.244.222</t>
  </si>
  <si>
    <t>000.0503.5930000.244.242</t>
  </si>
  <si>
    <t>000.0503.6000400.244.340</t>
  </si>
  <si>
    <t>000.0503.6000500.244.222</t>
  </si>
  <si>
    <t>000.1105.0000000.000.000</t>
  </si>
  <si>
    <t>000.1101.000000.000.000</t>
  </si>
  <si>
    <t>Траенспортные</t>
  </si>
  <si>
    <t>000.0102.0020300.122.212</t>
  </si>
  <si>
    <t>000.0104.0020400.122.212</t>
  </si>
  <si>
    <t>000.0104.0020400.121.213</t>
  </si>
  <si>
    <t>000.0104.0020400.244.222</t>
  </si>
  <si>
    <t>000.0104.0020400.242.224</t>
  </si>
  <si>
    <t>000.0310.5930000.244.310</t>
  </si>
  <si>
    <t>000.0401.0025400.121.211</t>
  </si>
  <si>
    <t>000.0401.0025400.121.213</t>
  </si>
  <si>
    <t>000.0401.0025400.244.340</t>
  </si>
  <si>
    <t>000.0409.3150301.244.226</t>
  </si>
  <si>
    <t>000.0501.0980201.244.222</t>
  </si>
  <si>
    <t>000.0501.0980201.244.226</t>
  </si>
  <si>
    <t>000.0502.3510500.244.310</t>
  </si>
  <si>
    <t>000.0503.6000040.244.226</t>
  </si>
  <si>
    <t>000.1101.5930000.244.340</t>
  </si>
  <si>
    <t>000.1105.5930000.244.222</t>
  </si>
  <si>
    <t>000.1105.5930000.244.226</t>
  </si>
  <si>
    <t>000.1105.5930000.244.310</t>
  </si>
  <si>
    <t>000 202 02150 10 0000151</t>
  </si>
  <si>
    <t>000.0106.0020400.244.221</t>
  </si>
  <si>
    <t xml:space="preserve">Субсидия на модеризацию региональных систем общего образования </t>
  </si>
  <si>
    <t>приобретение автоматизированных рабочих мест, транспортно-коммуникационного оборудования, серверного, периферийного и др. Оборудования</t>
  </si>
  <si>
    <t>041</t>
  </si>
  <si>
    <t>услуги по доставке и складированию оборудования, не включая расходы по закупке запасных инструментов и принадлежностей (комплектующих)</t>
  </si>
  <si>
    <t>042</t>
  </si>
  <si>
    <t>монтажные и пуско-наладочные работы поставляемых технических средств, всего</t>
  </si>
  <si>
    <t>043</t>
  </si>
  <si>
    <t>осуществление комплекса работ по специальным проверкам и исследованиям</t>
  </si>
  <si>
    <t>044</t>
  </si>
  <si>
    <t>5. Приобретение неисключительных прав на программное обеспечение, всего</t>
  </si>
  <si>
    <t>050</t>
  </si>
  <si>
    <t>обеспечение текущей деятельности</t>
  </si>
  <si>
    <t>6. Услуги по аренде оборудования, всего</t>
  </si>
  <si>
    <t>060</t>
  </si>
  <si>
    <t>7. Подключение (обеспечение доступа) к внешним информационным ресурсам, всего</t>
  </si>
  <si>
    <t>070</t>
  </si>
  <si>
    <t>доступ к телефонной сети связи общего пользования; предоставление доступа к услугам междугородной и международной связи</t>
  </si>
  <si>
    <t>071</t>
  </si>
  <si>
    <t>приобретение и обновление справочно-информационных баз данных (покупка контента)</t>
  </si>
  <si>
    <t>072</t>
  </si>
  <si>
    <t>доступ к сети Интернет</t>
  </si>
  <si>
    <t>073</t>
  </si>
  <si>
    <t>8. Эксплуатационные расходы на информационно-коммуникационные технологии, всего</t>
  </si>
  <si>
    <t>080</t>
  </si>
  <si>
    <t>обеспечение функционирования и поддержка работоспособности прикладного и системного программного обеспечения</t>
  </si>
  <si>
    <t>081</t>
  </si>
  <si>
    <t>техническое обслуживание аппаратного обеспечения включающее контроль технического состояния</t>
  </si>
  <si>
    <t>082</t>
  </si>
  <si>
    <t>9. Обучение сотрудников в области информационно-коммуникационных технологий, всего</t>
  </si>
  <si>
    <t>090</t>
  </si>
  <si>
    <t>Ремонт автомобильных дорог</t>
  </si>
  <si>
    <t>разработка курсов для обучения</t>
  </si>
  <si>
    <t>091</t>
  </si>
  <si>
    <t>обучение пользователей создаваемых прикладных систем (ПО)</t>
  </si>
  <si>
    <t>092</t>
  </si>
  <si>
    <t>прочее обучение в области информационно-коммуникационных технологий</t>
  </si>
  <si>
    <t>093</t>
  </si>
  <si>
    <t>10. Прочие расходы в области информационно-коммуникационных технологий</t>
  </si>
  <si>
    <t>КУМИ</t>
  </si>
  <si>
    <t>00009700000000000000251</t>
  </si>
  <si>
    <t>исполнения бюджета</t>
  </si>
  <si>
    <t>Единица измерения: руб.коп.</t>
  </si>
  <si>
    <t>коды</t>
  </si>
  <si>
    <t>0503317</t>
  </si>
  <si>
    <t>Форма по ОКУД</t>
  </si>
  <si>
    <t xml:space="preserve">Переиодичность месячная                                                                                                                                     </t>
  </si>
  <si>
    <t>по ОКАТО</t>
  </si>
  <si>
    <t>по ОКЕИ</t>
  </si>
  <si>
    <t>Зам.начальника,начальник бюджетного отдела</t>
  </si>
  <si>
    <t>Отчет об исполнении консолидированного бюджета субъекта Российской федерации бюджета территориального государственного внебюджетного фонда</t>
  </si>
  <si>
    <t>Наименование бюджета                                                                                                                                                                                                                                                                                                     по ОКПО</t>
  </si>
  <si>
    <t xml:space="preserve">Наименование органа,организующего </t>
  </si>
  <si>
    <t>дата</t>
  </si>
  <si>
    <t>000 2 02 02079 05 0000 151</t>
  </si>
  <si>
    <t>000 2 02 02999 05 0000 151</t>
  </si>
  <si>
    <t>000 2 02 03007 05 0000 151</t>
  </si>
  <si>
    <t>000 2 02 03021 05 0000 151</t>
  </si>
  <si>
    <t>000 2 02 03022 05 0000 151</t>
  </si>
  <si>
    <t xml:space="preserve">000 1 16 30030 01 0000 140 </t>
  </si>
  <si>
    <t>000 2 02 03024 05 0000 151</t>
  </si>
  <si>
    <t>000 2 02 04014 05 0000 151</t>
  </si>
  <si>
    <t>Пособия по социальному страхованию населения</t>
  </si>
  <si>
    <t>Перечисление другим бюджетам бюджетной системы</t>
  </si>
  <si>
    <t>000 01 02 00 00 05 0000 710</t>
  </si>
  <si>
    <t>000 01 02 00 00 10 0000 710</t>
  </si>
  <si>
    <t>000 01 03 00 00 05 0000 810</t>
  </si>
  <si>
    <t>000 01 03 00 00 05 0000 710</t>
  </si>
  <si>
    <t>000 01 03 00 00 10 0000 710</t>
  </si>
  <si>
    <t>000 01 03 00 00 10 0000 810</t>
  </si>
  <si>
    <t>000 01 05 00 00 00 0000 000</t>
  </si>
  <si>
    <t>000 01 05 02 01 05 0000 510</t>
  </si>
  <si>
    <t>000 01 05 02 01 10 0000 510</t>
  </si>
  <si>
    <t>000 01 05 02 01 05 0000 610</t>
  </si>
  <si>
    <t>000 01 05 02 01 10 0000 610</t>
  </si>
  <si>
    <t>000 90 00 00 00 00 0000 000</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</si>
  <si>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</si>
  <si>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поселений в валюте Российской  Федерации</t>
  </si>
  <si>
    <t>КОДЫ</t>
  </si>
  <si>
    <t>812</t>
  </si>
  <si>
    <t>Код строки</t>
  </si>
  <si>
    <t>000 116 33050 05 0000140</t>
  </si>
  <si>
    <t>Исполнено</t>
  </si>
  <si>
    <t>консолидированный бюджет субъекта Российской Федерации</t>
  </si>
  <si>
    <t>бюджеты муниципальных районов</t>
  </si>
  <si>
    <t>00008000000000000242</t>
  </si>
  <si>
    <t>Нородная инциатива поселение</t>
  </si>
  <si>
    <t>бюджеты городских и сельских поселений</t>
  </si>
  <si>
    <t>Безвозм всего</t>
  </si>
  <si>
    <t>100</t>
  </si>
  <si>
    <t>221</t>
  </si>
  <si>
    <t>222</t>
  </si>
  <si>
    <t>224</t>
  </si>
  <si>
    <t>225</t>
  </si>
  <si>
    <t>226</t>
  </si>
  <si>
    <t>Остаток на начало года</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</si>
  <si>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</si>
  <si>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</si>
  <si>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</si>
  <si>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</si>
  <si>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 за счет средств бюджета территориального фонда обязательного медицинского страхования граждан  Иркутской области</t>
  </si>
  <si>
    <t>000 202 04034 05 0002 151</t>
  </si>
  <si>
    <t>Отчет</t>
  </si>
  <si>
    <t xml:space="preserve">                                                        </t>
  </si>
  <si>
    <t>об исполнении бюджета</t>
  </si>
  <si>
    <t>Мамского городского поселения</t>
  </si>
  <si>
    <t>Наименования бюджетного показателя</t>
  </si>
  <si>
    <t>Код бюджетной классификации</t>
  </si>
  <si>
    <t>Уточненный план бюджета</t>
  </si>
  <si>
    <t>План бюджета по решениям думы</t>
  </si>
  <si>
    <t>ДОХОДЫ</t>
  </si>
  <si>
    <t>000 1 00 00000 00 0000 000</t>
  </si>
  <si>
    <t>000 106 04012 02 0000 110</t>
  </si>
  <si>
    <t>000 2 00 00000 00 0000 000</t>
  </si>
  <si>
    <t>Дотации бюджетам поселений на выравнивание уровня бюджетной обеспеченности поселений(обл)</t>
  </si>
  <si>
    <t>Субвенция на гос.полномочия регулирование тарифов</t>
  </si>
  <si>
    <t>Прочие межбюджетные трансферты с района</t>
  </si>
  <si>
    <t>Субсидии в целях софинансирования расходных обязательств по организации в границах муниципального образования электро-, тепло-, водоснабжения населения, водоотведения, снабжения населения топливом на закупку и доставку нефти, нефтепродуктов и топлива в районы Крайнего Севера и приравненные к ним местности</t>
  </si>
  <si>
    <t>Подпрограмма "Подготовка объектов коммунальной инфраструктурыИркутской области к отопительному сезону в 2012-2013 г.г.</t>
  </si>
  <si>
    <t xml:space="preserve">000 2 02 02999 10 0000 151 </t>
  </si>
  <si>
    <t>000 1 05 01021 0110000 110</t>
  </si>
  <si>
    <t>000 1 05 01050 01 0000 110</t>
  </si>
  <si>
    <t>000 116 32000 05 0000140</t>
  </si>
  <si>
    <t>000 116 43000 10 0000140</t>
  </si>
  <si>
    <t>000 2 02 01003 05 0000 151</t>
  </si>
  <si>
    <t>000 2 0202009 05 0000 151</t>
  </si>
  <si>
    <t>000 2 0202145 05 0000 151</t>
  </si>
  <si>
    <t>000 2 02 03055 05 0000 151</t>
  </si>
  <si>
    <t>000 2 02 021050 05 0000 151</t>
  </si>
  <si>
    <t>000 2 02 030 07 05 0000 151</t>
  </si>
  <si>
    <t>000 2 02 030 77 05 0000 151</t>
  </si>
  <si>
    <t>000 2 02 04034 05 0001 151</t>
  </si>
  <si>
    <t>000 2 02 04034 05 0002 151</t>
  </si>
  <si>
    <t>000 2 19 05000 05 0000 151</t>
  </si>
  <si>
    <t>Долгосрочная целевая программа "Повышение эффективности бюджетных расходов Иркутской области на 2011-2013 годы"</t>
  </si>
  <si>
    <t>Подготовка населения и организаций к действиям в чрезвычайной ситуации в мирное и военное время</t>
  </si>
  <si>
    <t>Мероприятия в области гражданской промышленности</t>
  </si>
  <si>
    <t>Долгосрочная целевая программа Иркутской области "Стимулирование жилищного строительства в Иркутской области на 2011-2015 годы", в т.ч. подпрограмма "Территориальное планирование МО Иркутской области на 2011-2012 годы"</t>
  </si>
  <si>
    <t>09600</t>
  </si>
  <si>
    <t>Выплата заработной платы с начислениями на нее педагогическим работникам муниципальных дошкольных образовательных учреждений муниципальных учреждений дополнительного образования</t>
  </si>
  <si>
    <t>Оплата стоимости набора продуктов питания для детей в организованных органами мемтного самоуправления оздоровительных лагерях с дневным пребыванием детей за счет средств местного бюджета</t>
  </si>
  <si>
    <t>Долгосрочная областная целевая программа "Организация и обеспечение отдыха и оздоровления детей в Иркутской области на 2012-2014 годы"</t>
  </si>
  <si>
    <t>Субсидия на кап.ремонт и ремонт автомобильных дорог общего пользования населенных пунктов Иркутской области</t>
  </si>
  <si>
    <t>Субсидия на финансирование расходов, связанных с реализацией мероприятий перечня проектов народных инициатив по подготовке к празднованию 75-летия Иркутской области</t>
  </si>
  <si>
    <t xml:space="preserve">Иные МБТ, предоставляемые бюджетам поселений за счет средств областного бюджета на поддержку мер по обеспечению сбалансированности </t>
  </si>
  <si>
    <t xml:space="preserve">000 2 02 01003 10 0000 151 </t>
  </si>
  <si>
    <t>Доходы бюджета всего</t>
  </si>
  <si>
    <t xml:space="preserve">Расходы бюджета </t>
  </si>
  <si>
    <t>План по бюджетной росписи</t>
  </si>
  <si>
    <t>000 0100 0000000 000 000</t>
  </si>
  <si>
    <t>000 0100 0000000 000 211</t>
  </si>
  <si>
    <t>000 0100 0000000 000 212</t>
  </si>
  <si>
    <t>000 0100 0000000 000 213</t>
  </si>
  <si>
    <t>000 0100 0000000 000 221</t>
  </si>
  <si>
    <t>000 0100 0000000 000 222</t>
  </si>
  <si>
    <t>000 0100 0000000 000 223</t>
  </si>
  <si>
    <t>000 0100 0000000 000 225</t>
  </si>
  <si>
    <t>000 0100 0000000 000 226</t>
  </si>
  <si>
    <t>Обслуживание гос.долга</t>
  </si>
  <si>
    <t>000 0100 0000000 000 231</t>
  </si>
  <si>
    <t>Пособия</t>
  </si>
  <si>
    <t>000 0100 0000000 000 261</t>
  </si>
  <si>
    <t>000 0100 0000000 000 290</t>
  </si>
  <si>
    <t>000 0100 0000000 000 310</t>
  </si>
  <si>
    <t>000 0100 0000000 000 340</t>
  </si>
  <si>
    <t>Функционирование высшего должностного лица субъекта РФ и органа местного самоуправления</t>
  </si>
  <si>
    <t>000 0102 0000000 000 000</t>
  </si>
  <si>
    <t>000 0102 0000000 000 211</t>
  </si>
  <si>
    <t>000 0102 0000000 000 212</t>
  </si>
  <si>
    <t>000 0102 0000000 000 213</t>
  </si>
  <si>
    <t xml:space="preserve">000 0102 0000000 000 222 </t>
  </si>
  <si>
    <t>Представительный орган муниципального образования</t>
  </si>
  <si>
    <t>000 0103 0000000 000 000</t>
  </si>
  <si>
    <t>000 0103 0000000 000 226</t>
  </si>
  <si>
    <t>000 0103 0000000 000 290</t>
  </si>
  <si>
    <t>Финансирование Правительства РФ, высших органов исполнительной власти субъектов РФ, местных администраций</t>
  </si>
  <si>
    <t>000 0104 0000000 000 000</t>
  </si>
  <si>
    <t>000 0104 0000000 000 211</t>
  </si>
  <si>
    <t>000 0104 0000000 000 212</t>
  </si>
  <si>
    <t>000 0104 0000000 000 213</t>
  </si>
  <si>
    <t>000 0104 0000000 000 221</t>
  </si>
  <si>
    <t>000 0104 0000000 000 222</t>
  </si>
  <si>
    <t>000 0104 0000000 000 223</t>
  </si>
  <si>
    <t>000 0104 0000000 000 225</t>
  </si>
  <si>
    <t>000 0104 0000000 000 226</t>
  </si>
  <si>
    <t xml:space="preserve">000 0104 0000000 000 261 </t>
  </si>
  <si>
    <t>000 0104 0000000 000 290</t>
  </si>
  <si>
    <t>000 0104 0000000 000 310</t>
  </si>
  <si>
    <t>000 0104 0000000 000 340</t>
  </si>
  <si>
    <t>Обеспечение проведение выборов</t>
  </si>
  <si>
    <t>000 0107 0000000 000 000</t>
  </si>
  <si>
    <t>000 0107 0000000 000 290</t>
  </si>
  <si>
    <t>000 0111 0000000 000 000</t>
  </si>
  <si>
    <t>000 0111 0000000 000 290</t>
  </si>
  <si>
    <t>Военно-учетный стол</t>
  </si>
  <si>
    <t>000 0203 0000000 000 000</t>
  </si>
  <si>
    <t>Заработная плата работника военно-учетного стола</t>
  </si>
  <si>
    <t>000 0203 0000000 000 211</t>
  </si>
  <si>
    <t>000 0203 0000000 000 212</t>
  </si>
  <si>
    <t>Начисление на заработную плату</t>
  </si>
  <si>
    <t>000 0203 0000000 000 213</t>
  </si>
  <si>
    <t>000 0203 0000000 000 221</t>
  </si>
  <si>
    <t>000 0203 0000000 000 310</t>
  </si>
  <si>
    <t>000 0203 0000000 000 340</t>
  </si>
  <si>
    <t>Предотвращение последствий ЧС</t>
  </si>
  <si>
    <t>000 0309 0000000 000 00</t>
  </si>
  <si>
    <t>000 0309 0000000 000 226</t>
  </si>
  <si>
    <t>000.0501.0980201.244.310</t>
  </si>
  <si>
    <t>000.0502.3500300.244.340</t>
  </si>
  <si>
    <t>000.0502.3510300.244.340</t>
  </si>
  <si>
    <t>на 1 января 2014 года</t>
  </si>
  <si>
    <t>Субсидия на реализацию мероприятий перечня народных инициатив</t>
  </si>
  <si>
    <t>Остатки средств на 01.01.2014г:</t>
  </si>
  <si>
    <t>000 2 02 02150100000 151</t>
  </si>
  <si>
    <t>Иные МБТ, предоставляемые бюджетам поселений за счет средств областного бюджета на поддержку мер по обеспечению сбалансированности (энергосбережение)</t>
  </si>
  <si>
    <t xml:space="preserve">000 0501 0000000 000 340 </t>
  </si>
  <si>
    <t>Субсидия на кап.ремонт и ремонт дворовых территорий многоквартирных домов,проездов к дворовым территориям многоквартирных домов населенных пунктов</t>
  </si>
  <si>
    <t>Межбюджетные трансферты,предоставляемые бюджетам поселений за счет средств районного бюджета на поддержку мер по обеспечению сбалансированности местных бюджетов</t>
  </si>
  <si>
    <t>000 1105 0000000 000 222</t>
  </si>
  <si>
    <t>Итого:                                      1484936,34</t>
  </si>
  <si>
    <t xml:space="preserve">На л/с                                         </t>
  </si>
  <si>
    <t>Целевые                                   843855,67</t>
  </si>
  <si>
    <t>(516000 -  дороги., , 327855,67 - нар.иниц)</t>
  </si>
  <si>
    <t>Собственные                              641080,67</t>
  </si>
  <si>
    <t xml:space="preserve"> МБТ на поддержку мер по обеспечению сбалансированности местных бюджетов из бюджета района</t>
  </si>
  <si>
    <t>000 1 03 02230 01 0000 110</t>
  </si>
  <si>
    <t>000 1 03 02240 01 0000 110</t>
  </si>
  <si>
    <t>000 1 03 02250 01 0000 110</t>
  </si>
  <si>
    <t>000 1 03 02260 01 0000 110</t>
  </si>
  <si>
    <t>000 1 03 022660 01 0000 110</t>
  </si>
  <si>
    <t>Увеличение стоимости  материальных запасов</t>
  </si>
  <si>
    <t>000 0309 0000000 000 340</t>
  </si>
  <si>
    <t>Заработная пата</t>
  </si>
  <si>
    <t>000 0401 0000000 000 211</t>
  </si>
  <si>
    <t xml:space="preserve">000 0401 0000000 000 213 </t>
  </si>
  <si>
    <t>Увеличение стоимости МЗ</t>
  </si>
  <si>
    <t>000 0401 0000000 000 340</t>
  </si>
  <si>
    <t>000 0409 0000000 000 226</t>
  </si>
  <si>
    <t>000 0412 0000000 000 226</t>
  </si>
  <si>
    <t>000 0500 0000000 000 000</t>
  </si>
  <si>
    <t>000 0501 0000000 000 000</t>
  </si>
  <si>
    <t>000 0501 0000000 000 225</t>
  </si>
  <si>
    <t>Увеличение стоимости ОС</t>
  </si>
  <si>
    <t xml:space="preserve">Коммунальное хозяйство </t>
  </si>
  <si>
    <t>000 0502 0000000 000 225</t>
  </si>
  <si>
    <t>000 0502 0000000 000 310</t>
  </si>
  <si>
    <t>000 0503 0000000 000000</t>
  </si>
  <si>
    <t>000 0503 0000000 000 225</t>
  </si>
  <si>
    <t>000 0503 0000000 000 310</t>
  </si>
  <si>
    <t>000 0503 0000000 000 241</t>
  </si>
  <si>
    <t>Другие вопросы в области жилищно-коммунального хозяйства</t>
  </si>
  <si>
    <t>000 0504 0000000 000 000</t>
  </si>
  <si>
    <t>000 0504 0000000 000 241</t>
  </si>
  <si>
    <t>000 0801 0000000 000 226</t>
  </si>
  <si>
    <t xml:space="preserve">000 0801 0000000 000 290 </t>
  </si>
  <si>
    <t>000 0801 0000000 000 310</t>
  </si>
  <si>
    <t>000 0801 0000000 000 340</t>
  </si>
  <si>
    <t>Другие вопросы в области социальной политике</t>
  </si>
  <si>
    <t>Пенсии, пособия, выплачиваемые организациями сектора государственного управления</t>
  </si>
  <si>
    <t>000 1001 0000000 000 263</t>
  </si>
  <si>
    <t>000 1006 0000000 000 290</t>
  </si>
  <si>
    <t>Физическая культура</t>
  </si>
  <si>
    <t>000 1101 0000000 000 000</t>
  </si>
  <si>
    <t>Прочие работы и услуги</t>
  </si>
  <si>
    <t>000 1101 0000000 000 226</t>
  </si>
  <si>
    <t>Другие вопросы в области физической культуры и спорта</t>
  </si>
  <si>
    <t>000 1105 0000000 000 000</t>
  </si>
  <si>
    <t>000 1105 0000000 000 226</t>
  </si>
  <si>
    <t xml:space="preserve">000 1105 0000000 000 290 </t>
  </si>
  <si>
    <t>000 1105 0000000 000 310</t>
  </si>
  <si>
    <t>000 1105 0000000 000 340</t>
  </si>
  <si>
    <t>Обслухивание гос.муниципального долга</t>
  </si>
  <si>
    <t>000 1301 0000000 000 000</t>
  </si>
  <si>
    <t>000 1301 0000000 000 231</t>
  </si>
  <si>
    <t>00014030000000000251</t>
  </si>
  <si>
    <t>Расходы бюджета - ВСЕГО:</t>
  </si>
  <si>
    <t>000 9800 0000000 000 000</t>
  </si>
  <si>
    <t>Результат исполниния бюджета (дефицит "--", профицит "+")</t>
  </si>
  <si>
    <t>000 7900 0000000 000 000</t>
  </si>
  <si>
    <t>ИСТОЧНИКИ ВНУТРЕННОГО ФИНАНСИРОВАНИЯ ДЕФИЦИТОВ БЮДЖЕТОВ РФ</t>
  </si>
  <si>
    <t>000 9000 000000 000 000</t>
  </si>
  <si>
    <t>Привлечение средств банковского кредита</t>
  </si>
  <si>
    <t>Полученные кредиты поселения</t>
  </si>
  <si>
    <t>Погашенные кредиты</t>
  </si>
  <si>
    <t>Продажа земельных участков</t>
  </si>
  <si>
    <t>Изменения остатков средств бюджетов</t>
  </si>
  <si>
    <t>Увеличение остатков денежных средств бюджетов поселений</t>
  </si>
  <si>
    <t>Уменьшение остатков денежных средств бюджетов поселений</t>
  </si>
  <si>
    <t>Итого источников финансирования</t>
  </si>
  <si>
    <t>Начальник бюджетной инспекции</t>
  </si>
  <si>
    <t>Витимского городского поселения</t>
  </si>
  <si>
    <t>План по решению думы</t>
  </si>
  <si>
    <t xml:space="preserve">000 2 02 04999 10 0000 151 </t>
  </si>
  <si>
    <t>Подпрограмма "Подготовка объектов коммунальной инфраструктуры Иркутской области к отопительному сезону в 2012-2013г.г.</t>
  </si>
  <si>
    <t>Субсидия на реализацию подпрограммы "Территориальное планирование МО Иркутской области на 2011-2012 года"</t>
  </si>
  <si>
    <t xml:space="preserve">000 2 02 02116 10 0000 151 </t>
  </si>
  <si>
    <t>Субсидия на кап.ремонт и ремонт дворовых территорий многоквартирных домов населенных пунктов Иркутской области на 2012 года</t>
  </si>
  <si>
    <t xml:space="preserve">000 2 02 02137 10 0000 151 </t>
  </si>
  <si>
    <t>Функционирование представительного органа муниципального образования</t>
  </si>
  <si>
    <t xml:space="preserve">000 0103 0000000 000 000 </t>
  </si>
  <si>
    <t>Выполнение функций органами местного самоуправления</t>
  </si>
  <si>
    <t>000 0103 0000000 000 340</t>
  </si>
  <si>
    <t>000 0300 0000000 000 00</t>
  </si>
  <si>
    <t>000 0310 0000000 000 340</t>
  </si>
  <si>
    <t>Общеэкономические вопросы</t>
  </si>
  <si>
    <t>000 0400 0000000 000 000</t>
  </si>
  <si>
    <t>Физкультура и спорт</t>
  </si>
  <si>
    <t>физкультурно-оздоровительная работа и спортивные мероприятия</t>
  </si>
  <si>
    <t>000 1101 0000000 000 340</t>
  </si>
  <si>
    <t>Луговского городского поселения</t>
  </si>
  <si>
    <t>Дотации бюджетам поселений на выравнивание уровня бюджетной обеспеченности поселений (обл)</t>
  </si>
  <si>
    <t xml:space="preserve">Субсидия в целях софинансирования на з/пл бюджетным учреждениям находящимся в ведении МО </t>
  </si>
  <si>
    <t xml:space="preserve">Прочие межбюджетные трансферты </t>
  </si>
  <si>
    <t>Подпрограмма "Подготовка объектов коммунальной инфраструктуры Иркутской области к отопительному сезону в 2011-2012г.г.</t>
  </si>
  <si>
    <t>План  по бюджетной росписи</t>
  </si>
  <si>
    <t>Обеспечение пожарной безопастности</t>
  </si>
  <si>
    <t>000 0310 0000000 000 226</t>
  </si>
  <si>
    <t>000 0310 0000000 000 310</t>
  </si>
  <si>
    <t>000 0502 0000000 000000</t>
  </si>
  <si>
    <t>000 0502 0000000 000 340</t>
  </si>
  <si>
    <t>Блогоустройство</t>
  </si>
  <si>
    <t>000 0801 0000000 000 290</t>
  </si>
  <si>
    <t>000 1101 0000000 000 222</t>
  </si>
  <si>
    <t>Мероприятия в области спорта</t>
  </si>
  <si>
    <t>000 1101 0000000 000 290</t>
  </si>
  <si>
    <t>Согдиондонского городского поселения</t>
  </si>
  <si>
    <t>Субсидия на подготовку к отопительному сезону 2011-2012г.г.</t>
  </si>
  <si>
    <t>Иные МБТ в целях софинансирования соответствующих программ городских поселений за счет районной целевой программы "Повышение эффективности бюджетных расходов муниципального образования Мамско-Чуйского района на 2012-2013 г.г."</t>
  </si>
  <si>
    <t>Проведение  кап.ремонта многоквартирных домов</t>
  </si>
  <si>
    <t>Ремонт жилого фонда, находящегося в муниципальной собственности</t>
  </si>
  <si>
    <t xml:space="preserve">000 0503 0000000 000 290 </t>
  </si>
  <si>
    <t>000 1001 0000000 000 000</t>
  </si>
  <si>
    <t>Пенсии и пособия выплачиваемые организациям сектора гос.управления</t>
  </si>
  <si>
    <t>000 1006 0000000 000 000</t>
  </si>
  <si>
    <t>Мероприятия в области физ.культуры и спорта</t>
  </si>
  <si>
    <t>0001403 0000000 000 251</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</si>
  <si>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</si>
  <si>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Реализация программы модернизации здравоохранения субъектов РФ в части укрепления материально-технической базы медицинских учреждений за счет средств бюджета ТФОМС граждан Иркутской области
</t>
  </si>
  <si>
    <t>Единый налог, взимаемый с налогоплательщиков, выбравших в качестве объекта налогообложения доходы</t>
  </si>
  <si>
    <t>00005000000000000226</t>
  </si>
  <si>
    <t>00005000000000000290</t>
  </si>
  <si>
    <t xml:space="preserve">000 2 19 05000 10 0000 151 </t>
  </si>
  <si>
    <t>Единый 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</si>
  <si>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</si>
  <si>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 с организаций</t>
  </si>
  <si>
    <t>Транспортный налог с физических лиц</t>
  </si>
  <si>
    <t>Мамское</t>
  </si>
  <si>
    <t>Витимское</t>
  </si>
  <si>
    <t>Луговское</t>
  </si>
  <si>
    <t>согдиондонское</t>
  </si>
  <si>
    <t>Горно-Чуйское</t>
  </si>
  <si>
    <t>000 2 02 01003 10 0000 151  (сбалансиров.)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</si>
  <si>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</si>
  <si>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000 1 16 08020 01 0000 140</t>
  </si>
  <si>
    <t>000 1 16 08010 01 0000 140</t>
  </si>
  <si>
    <t>000 0103 0000000 000 222</t>
  </si>
  <si>
    <t>000 501 00000000 000 340</t>
  </si>
  <si>
    <t>Дотация на выр.бюдж.обеспеч.мун</t>
  </si>
  <si>
    <t xml:space="preserve">                                                                                                                                                                                                                                                                                                                                                                                                                                                                                                                                                                                                                                                                                                                                                                                                                                                                                                                                                                                                                                                                                                                                                                                                                                                                                                                                                                                                                                                                                                                                                                                                                                                                                                                                                                                                                                                                                                                                                                                                                                                                                                                                                                                                                                                                                                                                                                                                                                                                                                                                                                                                                                                                                                                                                                                                                                                                                                                                                                                                                                                                                                                                                                                                                                                                                                                                                                                                                                                                                                                                                                                                                                                                                                                                                                                                                                                                                                                                                                                                                                                                                                                                                                                                                                                                                                                                                                                                                                                                                                                                                                                                                                                                                                                                                                                                                                                                                                                                                                                                                                                                                                                                                                                                                                                                                                                                                                                                                                                                                                                                                                                                                                                                     </t>
  </si>
  <si>
    <t>за счет безвозмездных перечислений организациям</t>
  </si>
  <si>
    <t>000.0104.0020400.242.221</t>
  </si>
  <si>
    <t>000.0104.0020400.244.224</t>
  </si>
  <si>
    <t>000.0104.0020400.244.225</t>
  </si>
  <si>
    <t>000.0104.0020400.244.226</t>
  </si>
  <si>
    <t>000.0104.0020400.244.290</t>
  </si>
  <si>
    <t>000.0104.0020400.244.310</t>
  </si>
  <si>
    <t>000.0104.0020400.244.340</t>
  </si>
  <si>
    <t>000.0104.0020400.244.221</t>
  </si>
  <si>
    <t>000.0104.0020400.242.226</t>
  </si>
  <si>
    <t>000.0104.0020400.242.310</t>
  </si>
  <si>
    <t>000.0104.0020400.242.340</t>
  </si>
  <si>
    <t>за счет перечислений организациям, за исключением государственных и муниципальных организаций</t>
  </si>
  <si>
    <t>за счет безвозмездных перечислений бюджетам</t>
  </si>
  <si>
    <t>за счет перечислений другим бюджетам бюджетной системы Российской Федерации</t>
  </si>
  <si>
    <t>000202000000000000000</t>
  </si>
  <si>
    <t>за счет перечислений наднациональным организациям и правительствам иностранных государств</t>
  </si>
  <si>
    <t>за счет перечислений международным организациям</t>
  </si>
  <si>
    <t>за счет социального обеспечения</t>
  </si>
  <si>
    <t>за счет пенсий, пособий и выыплат по пенсионному, социальному и медицинскому страхованию</t>
  </si>
  <si>
    <t>за счет пособий по социальной помощи населению</t>
  </si>
  <si>
    <t>за счет пенсий, пособий, выплачиваемых организациями сектора государственного управления</t>
  </si>
  <si>
    <t>за счет прочих расходов</t>
  </si>
  <si>
    <t>Выбытия по инвестиционным операциям - всего</t>
  </si>
  <si>
    <t>на приобретение нефинансовых активов:</t>
  </si>
  <si>
    <t>00005030000000000223</t>
  </si>
  <si>
    <t>00005030000000000224</t>
  </si>
  <si>
    <t xml:space="preserve">МТ в целях софинансирования программ городских поселенийза счет районной целевой программы "Повышение эффективности бюджетных расходов мун.обр. Мамско-Чуйского района на 2013-2014гг" </t>
  </si>
  <si>
    <t>000 0309 0000000 000 000</t>
  </si>
  <si>
    <t>000 0310 0000000 000 000</t>
  </si>
  <si>
    <t>23000</t>
  </si>
  <si>
    <t>23100</t>
  </si>
  <si>
    <t>23200</t>
  </si>
  <si>
    <t>Субсидия на поддержку соб дела</t>
  </si>
  <si>
    <t>Субсидия на обеспечение жильем граждан уволен с воен.службы</t>
  </si>
  <si>
    <t>000 1 14 02053 05 0000 410</t>
  </si>
  <si>
    <t>0001403 0000000000 251</t>
  </si>
  <si>
    <t>000 1003 0000000 000 262</t>
  </si>
  <si>
    <t>Выбытия по финансовым операциям - всего</t>
  </si>
  <si>
    <t>с финансовыми активами</t>
  </si>
  <si>
    <t>по приобретению ценных бумаг, кроме акций и иных форм участия в капитале</t>
  </si>
  <si>
    <t>по приобретению акций и иных форм участия в капитале</t>
  </si>
  <si>
    <t>по предоставлению бюджетных кредитов</t>
  </si>
  <si>
    <t>на погашение государственого (муниципального) долга</t>
  </si>
  <si>
    <t>на погашение внутреннего долга</t>
  </si>
  <si>
    <t>на погашение внешнего долга</t>
  </si>
  <si>
    <t>Внутренние обороты - всего</t>
  </si>
  <si>
    <t>безвозмездные перечисления другими бюджетами бюджетной системы Российской Федерации</t>
  </si>
  <si>
    <t>выдача бюджетных кредитов других бюджетов бюджетной системы Российской Федерации</t>
  </si>
  <si>
    <t>000 2 02 03002 05 0000151</t>
  </si>
  <si>
    <t>возврат бюджетных кредитов других бюджетов бюджетной системы Российской Федерации</t>
  </si>
  <si>
    <t>выбытия по обслуживанию внутренних долговых обязательств (в части процентов, пеней и штрафных санкций по полученным бюджетным кредитам)</t>
  </si>
  <si>
    <t>Изменение остатков средств  - всего</t>
  </si>
  <si>
    <t>поступление денежных средств</t>
  </si>
  <si>
    <t>выбытие денежных средств</t>
  </si>
  <si>
    <t>1-Код стр.</t>
  </si>
  <si>
    <t>3-Код по КОСГУ</t>
  </si>
  <si>
    <t>Увел. Ст. осн. Ср</t>
  </si>
  <si>
    <t>000.0102.0020300.121.211</t>
  </si>
  <si>
    <t>000.0102.0020300.121.213</t>
  </si>
  <si>
    <t>000.0103.0020400.122.212</t>
  </si>
  <si>
    <t>000 1 19 05000 10 0000 151</t>
  </si>
  <si>
    <t>000 2 02 01001 05 0000 151</t>
  </si>
  <si>
    <t>000 2 02 01001 10 0000 151</t>
  </si>
  <si>
    <t>000 2 02 03999 05 0000 151</t>
  </si>
  <si>
    <t>000 3 02 01050 05 0000 130</t>
  </si>
  <si>
    <t>000 1 06 06013 10 0000 110</t>
  </si>
  <si>
    <t>00001000000000000261</t>
  </si>
  <si>
    <t>00001110000000000000</t>
  </si>
  <si>
    <t>000 116 32000 05 0000 140</t>
  </si>
  <si>
    <t>000 116 32000 10 0000140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</si>
  <si>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</si>
  <si>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827</t>
  </si>
  <si>
    <t>Возмещение сумм, израсходованных незаконно или не по целевому назначению, а также доходов, полученных от их использования (в части бюджетов муниципальных районов)</t>
  </si>
  <si>
    <t>00002030000000000000</t>
  </si>
  <si>
    <t xml:space="preserve"> Наименование показателя</t>
  </si>
  <si>
    <t>Расходы по содержанию органов местного самоуправления, всего</t>
  </si>
  <si>
    <t>из них:</t>
  </si>
  <si>
    <t>Поддержка коммунального хозяйства, всего</t>
  </si>
  <si>
    <t>КЭСР</t>
  </si>
  <si>
    <t>госполномочия(лицензирование алкоголь)</t>
  </si>
  <si>
    <t>Субсидия на приобретение и доставки топлива</t>
  </si>
  <si>
    <t>000.0103.0020400.242.340</t>
  </si>
  <si>
    <t>000.0113.0020400.242.340</t>
  </si>
  <si>
    <t>000.0113.5510300.000.000</t>
  </si>
  <si>
    <t>000.0113.5510300.121.211</t>
  </si>
  <si>
    <t>000.0113.5510300.122.212</t>
  </si>
  <si>
    <t>000.0113.5510300.121.213</t>
  </si>
  <si>
    <t>000.0113.5510300.242.221</t>
  </si>
  <si>
    <t>000.0113.5510300.244.221</t>
  </si>
  <si>
    <t>000.0113.5510300.244.222</t>
  </si>
  <si>
    <t>000.0113.5510300.244.223</t>
  </si>
  <si>
    <t>000.0113.5510300.242.226</t>
  </si>
  <si>
    <t>000.0113.5510300.244.226</t>
  </si>
  <si>
    <t>000.0113.5510300.242.310</t>
  </si>
  <si>
    <t>000.0113.5510300.244.310</t>
  </si>
  <si>
    <t>000.0113.5510300.242.340</t>
  </si>
  <si>
    <t>000.0113.5710103.000.000</t>
  </si>
  <si>
    <t>000.0113.5710103.121.211</t>
  </si>
  <si>
    <t>000.0113.5710103.122.212</t>
  </si>
  <si>
    <t>000.0113.5710103.121.213</t>
  </si>
  <si>
    <t>000.0113.5710103.242.221</t>
  </si>
  <si>
    <t>000.0113.5710103.244.221</t>
  </si>
  <si>
    <t>000.0113.5710103.244.222</t>
  </si>
  <si>
    <t>000.0113.5710103.244.223</t>
  </si>
  <si>
    <t>000.0113.5710103.242.226</t>
  </si>
  <si>
    <t>000.0113.5710103.244.226</t>
  </si>
  <si>
    <t>000.0113.5710103.242.290</t>
  </si>
  <si>
    <t>000.0113.5710103.244.310</t>
  </si>
  <si>
    <t>000.0113.5710103.242.340</t>
  </si>
  <si>
    <t>000.0113.5710103.244.340</t>
  </si>
  <si>
    <t>000.0302.7953300.244.226</t>
  </si>
  <si>
    <t>000.0314.2749900.122.212</t>
  </si>
  <si>
    <t>00014010000000000000</t>
  </si>
  <si>
    <t>000.0104.0020400.852.290</t>
  </si>
  <si>
    <t>000.0106.0020400.121.211</t>
  </si>
  <si>
    <t>000.0106.0020400.122.212</t>
  </si>
  <si>
    <t>000.0106.0020400.121.213</t>
  </si>
  <si>
    <t>000.0106.0020400.242.221</t>
  </si>
  <si>
    <t>000.0106.0020400.244.222</t>
  </si>
  <si>
    <t>000.0106.0020400.244.226</t>
  </si>
  <si>
    <t>000.0106.0020400.242.226</t>
  </si>
  <si>
    <t>000.0106.0020400.852.290</t>
  </si>
  <si>
    <t>000.0106.0020400.244.290</t>
  </si>
  <si>
    <t>000.0106.0020400.242.310</t>
  </si>
  <si>
    <t>000.0106.0020400.244.310</t>
  </si>
  <si>
    <t>000.0106.0020400.242.340</t>
  </si>
  <si>
    <t>000.0106.0020400.244.340</t>
  </si>
  <si>
    <t>000.0111.0700500.870.290</t>
  </si>
  <si>
    <t>000.0113.0020400.121.211</t>
  </si>
  <si>
    <t>000.0113.0020400.122.212</t>
  </si>
  <si>
    <t>000.0113.0020400.121.213</t>
  </si>
  <si>
    <t>000.0113.0020400.242.221</t>
  </si>
  <si>
    <t>000.0113.0020400.244.221</t>
  </si>
  <si>
    <t>000.0113.0020400.244.225</t>
  </si>
  <si>
    <t>000.0113.0020400.244.226</t>
  </si>
  <si>
    <t>000.0701.4209900.244.223</t>
  </si>
  <si>
    <t>000.0701.4209900.244.224</t>
  </si>
  <si>
    <t>000.0701.4209900.244.225</t>
  </si>
  <si>
    <t>000.0701.4209900.242.225</t>
  </si>
  <si>
    <t>000.0701.4209900.244.226</t>
  </si>
  <si>
    <t>000.0701.4209900.852.290</t>
  </si>
  <si>
    <t>000.0701.4209900.851.290</t>
  </si>
  <si>
    <t>000.0701.4209900.244.310</t>
  </si>
  <si>
    <t>000.0701.4209900.244.340</t>
  </si>
  <si>
    <t>Уплата налогов на имущество организаций и земельного налога</t>
  </si>
  <si>
    <t>Уплата прочих налогов и сборов и иных платежей</t>
  </si>
  <si>
    <t>ноябрь</t>
  </si>
  <si>
    <t>4;6</t>
  </si>
  <si>
    <t>14;16</t>
  </si>
  <si>
    <t>Внутенний оборот</t>
  </si>
  <si>
    <t>графа 7</t>
  </si>
  <si>
    <t>графа17</t>
  </si>
  <si>
    <t>графа 17</t>
  </si>
  <si>
    <t>графа7</t>
  </si>
  <si>
    <t>Внутренние обороты</t>
  </si>
  <si>
    <t xml:space="preserve">Внутренние обороты </t>
  </si>
  <si>
    <t>12</t>
  </si>
  <si>
    <t>22</t>
  </si>
  <si>
    <t>гр7</t>
  </si>
  <si>
    <t>гр17</t>
  </si>
  <si>
    <t>внутрен обороты1403000000000251</t>
  </si>
  <si>
    <t>822</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</si>
  <si>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</si>
  <si>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</si>
  <si>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</si>
  <si>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прочих остатков денежных средств  бюджетов поселений</t>
  </si>
  <si>
    <t>Увел.стоим. Матер.запасов</t>
  </si>
  <si>
    <t>000 0801 0000000 000 242</t>
  </si>
  <si>
    <t>Уменьшение прочих остатков денежных средств  бюджетов поселений</t>
  </si>
  <si>
    <t>Код расхода по классификации расходов бюджетов</t>
  </si>
  <si>
    <t>000 0502 0000000 000 000</t>
  </si>
  <si>
    <t>Дотации поддержку мер по обеспечению  на сбалансированности бюджетов поселений</t>
  </si>
  <si>
    <t xml:space="preserve"> 00020201003100000120551660</t>
  </si>
  <si>
    <t>Дотация на сбалансированность поселений</t>
  </si>
  <si>
    <t>000.0107.0200003.500.290</t>
  </si>
  <si>
    <t>Проведение выборов в представительные органы муниципального образования</t>
  </si>
  <si>
    <t>Проведение выборов главы муниципального образования</t>
  </si>
  <si>
    <t>000.0111.0700500.013.290</t>
  </si>
  <si>
    <t>000.0113.0020400.500.211</t>
  </si>
  <si>
    <t>000.0113.0020400.500.000</t>
  </si>
  <si>
    <t>000.0113.0020400.500.212</t>
  </si>
  <si>
    <t>000.0113.0020400.500.213</t>
  </si>
  <si>
    <t>000.0113.0020400.500.221</t>
  </si>
  <si>
    <t>000.0113.0020400.500.222</t>
  </si>
  <si>
    <t>000.0113.0020400.500.223</t>
  </si>
  <si>
    <t>000.0113.0020400.500.224</t>
  </si>
  <si>
    <t>000.0113.0020400.500.225</t>
  </si>
  <si>
    <t>000.0113.0020400.500.226</t>
  </si>
  <si>
    <t>000.0113.0020400.500.290</t>
  </si>
  <si>
    <t>000.0113.0020400.500.310</t>
  </si>
  <si>
    <t>000.0113.0020400.500.340</t>
  </si>
  <si>
    <t>00020203007050000120551660</t>
  </si>
  <si>
    <t>24гриспол</t>
  </si>
  <si>
    <t>000.0709.0020400.244.222</t>
  </si>
  <si>
    <t>000.0709.0020400.244.223</t>
  </si>
  <si>
    <t>000.0709.0020400.244.224</t>
  </si>
  <si>
    <t>000.0709.0020400.244.225</t>
  </si>
  <si>
    <t>000.0709.0020400.242.225</t>
  </si>
  <si>
    <t>000.0709.0020400.242.226</t>
  </si>
  <si>
    <t>000.0709.0020400.244.226</t>
  </si>
  <si>
    <t>000.0709.0020400.244.290</t>
  </si>
  <si>
    <t>000.0709.0020400.851.290</t>
  </si>
  <si>
    <t>000.0709.0020400.852.290</t>
  </si>
  <si>
    <t>000.0709.0020400.242.310</t>
  </si>
  <si>
    <t>000.0709.0020400.244.310</t>
  </si>
  <si>
    <t>000.0709.0020400.242.340</t>
  </si>
  <si>
    <t>000.0709.0020400.244.340</t>
  </si>
  <si>
    <t>000.0709.4529900.000.000</t>
  </si>
  <si>
    <t>000.0709.4529900.111.211</t>
  </si>
  <si>
    <t>000.0709.4529900.112.212</t>
  </si>
  <si>
    <t>000.0709.4529900.111.213</t>
  </si>
  <si>
    <t>000.0709.4529900.242.221</t>
  </si>
  <si>
    <t>000.0709.4529900.244.221</t>
  </si>
  <si>
    <t>000.0709.4529900.242.222</t>
  </si>
  <si>
    <t>000.0709.4529900.244.222</t>
  </si>
  <si>
    <t>000.0709.4529900.244.223</t>
  </si>
  <si>
    <t>000.0709.4529900.242.224</t>
  </si>
  <si>
    <t>000.0709.4529900.242.225</t>
  </si>
  <si>
    <t>000.0709.4529900.244.225</t>
  </si>
  <si>
    <t>000.0709.4529900.242.226</t>
  </si>
  <si>
    <t>000.0412.7953200.244.242</t>
  </si>
  <si>
    <t>000.0502.3510500.244.225</t>
  </si>
  <si>
    <t>000.0502.3510500.244.242</t>
  </si>
  <si>
    <t>Исполнение судебных актов РФЫ и мировых соглашений по возмещению вреда ,приченненного в результате незаконных действий (бездействий) органов госудаственной власти (государственных органов) либо должностных лиц этих органов, а также в результате деятельности казенных учреждений</t>
  </si>
  <si>
    <t>000.0801.4429900.244.290</t>
  </si>
  <si>
    <t>Дотации бюджетам поселений на выравнивание уровня бюджетной обеспеченности поселений</t>
  </si>
  <si>
    <t>Прочие дотации бюджетам муниципальных районов</t>
  </si>
  <si>
    <t>000 2 02 01999 05 0000 151</t>
  </si>
  <si>
    <t xml:space="preserve"> Субсидии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</si>
  <si>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000 2 02 02024 05 0000 151</t>
  </si>
  <si>
    <t>Субсидии бюджетам муниципальных районов на комплектование книжных фондов библиотек муниципальных образований</t>
  </si>
  <si>
    <t xml:space="preserve">000 2 02 02068 05 0000 151 </t>
  </si>
  <si>
    <t>000.0702.4219900.111.211</t>
  </si>
  <si>
    <t>000.0702.4219900.112.212</t>
  </si>
  <si>
    <t>000.0702.4219900.111.213</t>
  </si>
  <si>
    <t>000.0702.4219900.242.221</t>
  </si>
  <si>
    <t>000.0702.4219900.244.221</t>
  </si>
  <si>
    <t>000.0702.4219900.244.222</t>
  </si>
  <si>
    <t>000.0702.4219900.244.223</t>
  </si>
  <si>
    <t>000.0702.4219900.244.224</t>
  </si>
  <si>
    <t>000.0702.4219900.244.225</t>
  </si>
  <si>
    <t>000.0702.4219900.242.225</t>
  </si>
  <si>
    <t>000.0702.4219900.242.226</t>
  </si>
  <si>
    <t>000.0702.4219900.244.226</t>
  </si>
  <si>
    <t>000.0702.4219900.244.290</t>
  </si>
  <si>
    <t>000.0702.4219900.242.310</t>
  </si>
  <si>
    <t>000.0702.4219900.244.310</t>
  </si>
  <si>
    <t>000.0702.4219900.242.340</t>
  </si>
  <si>
    <t>000.0702.4219900.244.340</t>
  </si>
  <si>
    <t>000.0702.4219900.831.290</t>
  </si>
  <si>
    <t>000.0702.4219900.851.290</t>
  </si>
  <si>
    <t>000.0702.4219900.852.290</t>
  </si>
  <si>
    <t>000.0702.4239900.111.211</t>
  </si>
  <si>
    <t>000.0702.4239900.112.212</t>
  </si>
  <si>
    <t>000.0702.4239900.111.213</t>
  </si>
  <si>
    <t>000.0702.4239900.242.221</t>
  </si>
  <si>
    <t>000.0702.4239900.244.221</t>
  </si>
  <si>
    <t>000.0702.4239900.244.222</t>
  </si>
  <si>
    <t>000.0702.4239900.244.223</t>
  </si>
  <si>
    <t>000.0702.4239900.244.224</t>
  </si>
  <si>
    <t>000.0702.4239900.242.225</t>
  </si>
  <si>
    <t>000.0702.4239900.244.225</t>
  </si>
  <si>
    <t>000.0702.4239900.242.226</t>
  </si>
  <si>
    <t>000.0702.4239900.244.226</t>
  </si>
  <si>
    <t>000.0702.4239900.244.290</t>
  </si>
  <si>
    <t>000.0702.4239900.851.290</t>
  </si>
  <si>
    <t>000.0702.4239900.852.290</t>
  </si>
  <si>
    <t>000.0702.4239900.244.310</t>
  </si>
  <si>
    <t>000.0702.4239900.242.310</t>
  </si>
  <si>
    <t>000.0702.4239900.242.340</t>
  </si>
  <si>
    <t>000.0702.4239900.244.340</t>
  </si>
  <si>
    <t>000.0707.4310100.244.222</t>
  </si>
  <si>
    <t>000.0707.4310100.244.226</t>
  </si>
  <si>
    <t>000.0707.4310100.244.290</t>
  </si>
  <si>
    <t>000.0707.4310100.244.310</t>
  </si>
  <si>
    <t>000.0707.4310100.244.340</t>
  </si>
  <si>
    <t>000.0707.4320102.000.000</t>
  </si>
  <si>
    <t>000.0707.4320102.244.226</t>
  </si>
  <si>
    <t>000.0707.4320102.244.310</t>
  </si>
  <si>
    <t>000.0707.4320102.244.340</t>
  </si>
  <si>
    <t>000.0707.4320302.244.340</t>
  </si>
  <si>
    <t>000.0707.4320302.000.000</t>
  </si>
  <si>
    <t>000.0707.4310100.000.000</t>
  </si>
  <si>
    <t>000.0709.0020400.000.000</t>
  </si>
  <si>
    <t>000.0709.0020400.121.211</t>
  </si>
  <si>
    <t>000.0709.0020400.122.212</t>
  </si>
  <si>
    <t>000.0709.0020400.121.213</t>
  </si>
  <si>
    <t>000.0709.0020400.242.221</t>
  </si>
  <si>
    <t>000.0709.0020400.244.221</t>
  </si>
  <si>
    <t xml:space="preserve"> 00020202009050000120551660</t>
  </si>
  <si>
    <t>Субвенции бюджетам на осуществление первичного воинского учета на территориях, где отсутствуют военные комиссариаты</t>
  </si>
  <si>
    <t xml:space="preserve">  Общеэкономические вопросы</t>
  </si>
  <si>
    <t xml:space="preserve">  Другие вопросы в области физической культуры и спорта</t>
  </si>
  <si>
    <t>000 116 43000010000140</t>
  </si>
  <si>
    <t>000 117 05 05005 0000 180</t>
  </si>
  <si>
    <t>00003000000000000310</t>
  </si>
  <si>
    <t xml:space="preserve">                   </t>
  </si>
  <si>
    <t>00005000000000000310</t>
  </si>
  <si>
    <t>субсдия северн/завоз</t>
  </si>
  <si>
    <t>субсидия на соц. развит .села</t>
  </si>
  <si>
    <t>субвенция льготы ЖКХ</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</si>
  <si>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</si>
  <si>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на осуществление полномочий по подготовке проведения статистических переписей</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</si>
  <si>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</si>
  <si>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000 1 16 25050 01 0000 140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</si>
  <si>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</si>
  <si>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</si>
  <si>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000 2 02 02009 05 0000 151</t>
  </si>
  <si>
    <t xml:space="preserve">Обеспечение жильем граждан, уволенных с военной службы (службы), и приравненных к ним лиц
 </t>
  </si>
  <si>
    <t>000 2 02 030 77 05 0000151</t>
  </si>
  <si>
    <t>Субсидии на государственную поддержку малого и среднего предпринимательства, включая крестьянские (фермерские) хозяйства</t>
  </si>
  <si>
    <t>000 2 02 03077 10 0000 151</t>
  </si>
  <si>
    <t>1003</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</si>
  <si>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</si>
  <si>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</si>
  <si>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</si>
  <si>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000.0203.0013600.500.211</t>
  </si>
  <si>
    <t>000.0203.0013600.500.212</t>
  </si>
  <si>
    <t>000.0203.0013600.500.213</t>
  </si>
  <si>
    <t>000.0203.0013600.500.221</t>
  </si>
  <si>
    <t>000.0203.0013600.500.222</t>
  </si>
  <si>
    <t>000.0203.0013600.500.223</t>
  </si>
  <si>
    <t>000.0203.0013600.500.224</t>
  </si>
  <si>
    <t>000.0203.0013600.500.225</t>
  </si>
  <si>
    <t>000.0203.0013600.500.226</t>
  </si>
  <si>
    <t>000.0203.0013600.500.290</t>
  </si>
  <si>
    <t>000.0203.0013600.500.310</t>
  </si>
  <si>
    <t>000.0203.0013600.500.340</t>
  </si>
  <si>
    <t>000.0302.2020100.500.211</t>
  </si>
  <si>
    <t>000.0302.2020100.500.212</t>
  </si>
  <si>
    <t>000.0302.2020100.500.225</t>
  </si>
  <si>
    <t>000.0302.2020100.500.226</t>
  </si>
  <si>
    <t>000.0302.2020100.500.340</t>
  </si>
  <si>
    <t>000.0309.2180100.500.340</t>
  </si>
  <si>
    <t>000.0309.2190100.014.226</t>
  </si>
  <si>
    <t>000.0309.2190100.014.310</t>
  </si>
  <si>
    <t>дума</t>
  </si>
  <si>
    <t>000.0702.0025000.001.211</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</si>
  <si>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</si>
  <si>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000 2 02 03026 05 0000151</t>
  </si>
  <si>
    <t>Охрана семьи и детства</t>
  </si>
  <si>
    <t>00010040000000000000</t>
  </si>
  <si>
    <t>руководство и управление в сфере установленных функций органов МСУ</t>
  </si>
  <si>
    <t>00010040000000000310</t>
  </si>
  <si>
    <t>00010040000000000340</t>
  </si>
  <si>
    <t>000 116 33050 10 0000140</t>
  </si>
  <si>
    <t>000 2 02 02150 10 0000 151</t>
  </si>
  <si>
    <t>Субсидия бюджетам поселений на реализацию программы энергосбережения и повышение энергетической эффективности на период до 2020 года</t>
  </si>
  <si>
    <t>Комплектование книжных фондов библиотек муниципальных образований</t>
  </si>
  <si>
    <t>январь</t>
  </si>
  <si>
    <t>февраль</t>
  </si>
  <si>
    <t>000070000000000000211</t>
  </si>
  <si>
    <t>000070000000000000212</t>
  </si>
  <si>
    <t>000070000000000000213</t>
  </si>
  <si>
    <t>000070000000000000221</t>
  </si>
  <si>
    <t>000070000000000000222</t>
  </si>
  <si>
    <t>000070000000000000223</t>
  </si>
  <si>
    <t>000070000000000000224</t>
  </si>
  <si>
    <t>000070000000000000225</t>
  </si>
  <si>
    <t>000070000000000000226</t>
  </si>
  <si>
    <t>000070000000000000290</t>
  </si>
  <si>
    <t>000070000000000000310</t>
  </si>
  <si>
    <t>000070000000000000340</t>
  </si>
  <si>
    <t>Прочие межбюджетные трасферты</t>
  </si>
  <si>
    <t xml:space="preserve"> Результат 79 00 0000000..</t>
  </si>
  <si>
    <t>00009000000000000262</t>
  </si>
  <si>
    <t xml:space="preserve">000 1 16 31000 01 0000 140 </t>
  </si>
  <si>
    <t>810</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</si>
  <si>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</si>
  <si>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</si>
  <si>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Денежные взыскания (штрафы) за нарушения работы с денежной наличностью ,ведение кассовых операций и невыполнения обязанностей по контролю за соблюдения правил кассовых операций</t>
  </si>
  <si>
    <t>результат источников 09000000</t>
  </si>
  <si>
    <t>Остаток на н. м-ца.08000000000000</t>
  </si>
  <si>
    <t>ГРБС</t>
  </si>
  <si>
    <t>ЭЛ</t>
  </si>
  <si>
    <t>ПЛ.СЧ</t>
  </si>
  <si>
    <t>район 4;5 гр</t>
  </si>
  <si>
    <t>район 12;13</t>
  </si>
  <si>
    <t>000 1 01 02020 01 0000 110</t>
  </si>
  <si>
    <t>000 1 13 01995 05 0000 130</t>
  </si>
  <si>
    <t>000980000000000</t>
  </si>
  <si>
    <t>0008900000000000</t>
  </si>
  <si>
    <t>00004010000000000000</t>
  </si>
  <si>
    <t>000 202 04034 05 0001 151</t>
  </si>
  <si>
    <t>00004000000000000290</t>
  </si>
  <si>
    <t>00004000000000000310</t>
  </si>
  <si>
    <t>00004000000000000340</t>
  </si>
  <si>
    <t>00004000000000000211</t>
  </si>
  <si>
    <t>00004000000000000212</t>
  </si>
  <si>
    <t>00004000000000000213</t>
  </si>
  <si>
    <t>00004000000000000221</t>
  </si>
  <si>
    <t>00004000000000000222</t>
  </si>
  <si>
    <t>00004000000000000223</t>
  </si>
  <si>
    <t>00004000000000000224</t>
  </si>
  <si>
    <t>00004000000000000225</t>
  </si>
  <si>
    <t>00004000000000000226</t>
  </si>
  <si>
    <t>00020202999050000120551660</t>
  </si>
  <si>
    <t>Платежи за проведение поисковых и разведочных работ, мобилизуемые на территориях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</si>
  <si>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</si>
  <si>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Федерального закона "О пожарной безопасности"</t>
  </si>
  <si>
    <t xml:space="preserve">000 1 16 28000 01 0000 140 </t>
  </si>
  <si>
    <t>00280</t>
  </si>
  <si>
    <t>00281</t>
  </si>
  <si>
    <t>00282</t>
  </si>
  <si>
    <t>00283</t>
  </si>
  <si>
    <t>000.0801.4409900.001.310</t>
  </si>
  <si>
    <t>000.0801.4409900.001.340</t>
  </si>
  <si>
    <t xml:space="preserve">           в том числе:</t>
  </si>
  <si>
    <t>в сфере культуры и кинематографии</t>
  </si>
  <si>
    <t>000 0800 0000000 000 000</t>
  </si>
  <si>
    <t>000 1000 0000000 000 000</t>
  </si>
  <si>
    <t>Музеи и постоянные выставки</t>
  </si>
  <si>
    <t>000.0801.4419900.001.000</t>
  </si>
  <si>
    <t>000.0801.4419900.001.211</t>
  </si>
  <si>
    <t>000.0801.4419900.001.212</t>
  </si>
  <si>
    <t>000.0801.4419900.001.213</t>
  </si>
  <si>
    <t>000.0801.4419900.001.221</t>
  </si>
  <si>
    <t>000.0801.4419900.001.222</t>
  </si>
  <si>
    <t>000.0801.4419900.001.223</t>
  </si>
  <si>
    <t>000.0801.4419900.001.224</t>
  </si>
  <si>
    <t>000.0801.4419900.001.225</t>
  </si>
  <si>
    <t>000.0801.4419900.001.226</t>
  </si>
  <si>
    <t>000.0801.4419900.001.262</t>
  </si>
  <si>
    <t>000.0801.4419900.001.290</t>
  </si>
  <si>
    <t>000.0801.4419900.001.310</t>
  </si>
  <si>
    <t>000 2 02 02150 05 0000 151</t>
  </si>
  <si>
    <t>Ппрограмма "Энергосбережения и повышение энергитической эффективности на период до 2020года.</t>
  </si>
  <si>
    <t>000.0801.4419900.001.340</t>
  </si>
  <si>
    <t>Библиотеки</t>
  </si>
  <si>
    <t>000.0801.4429900.001.000</t>
  </si>
  <si>
    <t>000.0103.0020400.500.340</t>
  </si>
  <si>
    <t>00003000000000000222</t>
  </si>
  <si>
    <t>000.0503.6000500.500.000</t>
  </si>
  <si>
    <t>000.0102.0020300.500.211</t>
  </si>
  <si>
    <t>000.0102.0020300.500.212</t>
  </si>
  <si>
    <t>000.0102.0020300.500.213</t>
  </si>
  <si>
    <t>000.0104.0020400.500.211</t>
  </si>
  <si>
    <t>000.0104.0020400.500.212</t>
  </si>
  <si>
    <t>000.0104.0020400.500.213</t>
  </si>
  <si>
    <t>000.0104.0020400.500.221</t>
  </si>
  <si>
    <t>000.0104.0020400.500.222</t>
  </si>
  <si>
    <t>000.0104.0020400.500.223</t>
  </si>
  <si>
    <t>000.0104.0020400.500.224</t>
  </si>
  <si>
    <t>000.0104.0020400.500.225</t>
  </si>
  <si>
    <t>000.0104.0020400.500.226</t>
  </si>
  <si>
    <t>000.0104.0020400.500.261</t>
  </si>
  <si>
    <t>000.0104.0020400.500.290</t>
  </si>
  <si>
    <t>000.0104.0020400.500.310</t>
  </si>
  <si>
    <t>000.0104.0020400.500.340</t>
  </si>
  <si>
    <t>000.0106.0020400.500.211</t>
  </si>
  <si>
    <t>000.0106.0020400.500.212</t>
  </si>
  <si>
    <t>000.0106.0020400.500.213</t>
  </si>
  <si>
    <t>000.0106.0020400.500.221</t>
  </si>
  <si>
    <t>000.0106.0020400.500.222</t>
  </si>
  <si>
    <t>000.0106.0020400.500.226</t>
  </si>
  <si>
    <t>000.0106.0020400.500.290</t>
  </si>
  <si>
    <t>000.0106.0020400.500.223</t>
  </si>
  <si>
    <t>000.0106.0020400.500.224</t>
  </si>
  <si>
    <t>000.0106.0020400.500.225</t>
  </si>
  <si>
    <t>000.0106.0020400.500.310</t>
  </si>
  <si>
    <t>000.0106.0020400.500.340</t>
  </si>
  <si>
    <t>000.0107.0200002.500.290</t>
  </si>
  <si>
    <t>000 105 01011 01 000 110</t>
  </si>
  <si>
    <t>000 105 01050 01 0000 110</t>
  </si>
  <si>
    <t>000 105 0102 1011 000 110</t>
  </si>
  <si>
    <t>000 219 050000 50000 151</t>
  </si>
  <si>
    <t xml:space="preserve">                                                                                                                                                                                                                                                                                                                                                                                                                                                </t>
  </si>
  <si>
    <t>000.0203.013600.500.211</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</si>
  <si>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</si>
  <si>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000.0903.4709900.001.226</t>
  </si>
  <si>
    <t>000 1 08 07 084  01 1000 110</t>
  </si>
  <si>
    <t>000.0903.4709900.001.290</t>
  </si>
  <si>
    <t>000.0903.4709900.001.310</t>
  </si>
  <si>
    <t>000.0903.4709900.001.340</t>
  </si>
  <si>
    <t>000.0904.4709900.001.000</t>
  </si>
  <si>
    <t>000.0904.4709900.001.211</t>
  </si>
  <si>
    <t>000.0904.4709900.001.212</t>
  </si>
  <si>
    <t>000.0904.4709900.001.213</t>
  </si>
  <si>
    <t>000.0904.4709900.001.221</t>
  </si>
  <si>
    <t>000.0904.4709900.001.222</t>
  </si>
  <si>
    <t>000.0904.4709900.001.223</t>
  </si>
  <si>
    <t>000.0904.4709900.001.224</t>
  </si>
  <si>
    <t>000.0904.4709900.001.225</t>
  </si>
  <si>
    <t>000.0904.4709900.001.226</t>
  </si>
  <si>
    <t>000.0904.4709900.001.290</t>
  </si>
  <si>
    <t>000.0904.4709900.001.310</t>
  </si>
  <si>
    <t>000.0702.4219900.001.211</t>
  </si>
  <si>
    <t>000.0702.4219900.001.212</t>
  </si>
  <si>
    <t>000.0702.4219900.001.213</t>
  </si>
  <si>
    <t>для реализации ДЦП культуры</t>
  </si>
  <si>
    <t>000.0702.4219900.001.221</t>
  </si>
  <si>
    <t>000.0702.4219900.001.222</t>
  </si>
  <si>
    <t>000.0702.4219900.001.223</t>
  </si>
  <si>
    <t>000.0702.4219900.001.224</t>
  </si>
  <si>
    <t>000.0702.4219900.001.225</t>
  </si>
  <si>
    <t>000.0702.4219900.001.226</t>
  </si>
  <si>
    <t>000.0702.4219900.001.290</t>
  </si>
  <si>
    <t>000.0702.4219900.001.310</t>
  </si>
  <si>
    <t>000.0702.4219900.001.340</t>
  </si>
  <si>
    <t>Учреждения  по внешкольной работе</t>
  </si>
  <si>
    <t>000.0702.423990.001.000</t>
  </si>
  <si>
    <t>000.0702.423990.001.211</t>
  </si>
  <si>
    <t>000.0702.423990.001.212</t>
  </si>
  <si>
    <t>000.0702.423990.001.213</t>
  </si>
  <si>
    <t>000.0702.423990.001.221</t>
  </si>
  <si>
    <t>000.0702.423990.001.222</t>
  </si>
  <si>
    <t>000.0702.423990.001.223</t>
  </si>
  <si>
    <t>000.0702.423990.001.224</t>
  </si>
  <si>
    <t>000.0702.423990.001.225</t>
  </si>
  <si>
    <t>000.0702.423990.001.226</t>
  </si>
  <si>
    <t>000.0702.423990.001.290</t>
  </si>
  <si>
    <t>000.0702.423990.001.310</t>
  </si>
  <si>
    <t>000.0702.423990.001.340</t>
  </si>
  <si>
    <t>000.0702.5200900.001.000</t>
  </si>
  <si>
    <t>000.0702.5200900.001.211</t>
  </si>
  <si>
    <t>000.0702.5200900.001.213</t>
  </si>
  <si>
    <t>000.0707.4310100.500.000</t>
  </si>
  <si>
    <t>000.0707.4310100.500.226</t>
  </si>
  <si>
    <t>000.0707.4310100.500.310</t>
  </si>
  <si>
    <t>000.0801.4409900.001.000</t>
  </si>
  <si>
    <t>Дворцы и дома культуры ,другие учреждение в области культуры и средств массовый информации</t>
  </si>
  <si>
    <t>000.0801.4409900.001.211</t>
  </si>
  <si>
    <t>000.0801.4409900.001.212</t>
  </si>
  <si>
    <t>000.0801.4409900.001.213</t>
  </si>
  <si>
    <t>000.0801.4409900.001.221</t>
  </si>
  <si>
    <t>000.0801.4409900.001.222</t>
  </si>
  <si>
    <t>000.0801.4409900.001.223</t>
  </si>
  <si>
    <t>000.0801.4409900.001.224</t>
  </si>
  <si>
    <t>000.0801.4409900.001.225</t>
  </si>
  <si>
    <t>000.0801.4409900.001.226</t>
  </si>
  <si>
    <t>000.0801.4409900.001.262</t>
  </si>
  <si>
    <t>000.0801.4409900.001.290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</si>
  <si>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</si>
  <si>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</si>
  <si>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</si>
  <si>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по безвозмездным и безвозвратным поступлениям от бюджетов</t>
  </si>
  <si>
    <t>от других бюджетов бюджетной системы Российской Федерации</t>
  </si>
  <si>
    <t>от наднациональных организаций и правительств иностранных государств</t>
  </si>
  <si>
    <t>от международных финансовых организаций</t>
  </si>
  <si>
    <t>от взносов на социальные нужды</t>
  </si>
  <si>
    <t>от переоценки активов</t>
  </si>
  <si>
    <t>по прочим доходам</t>
  </si>
  <si>
    <t>Поступления от инвестиционных  операций - всего</t>
  </si>
  <si>
    <t>от реализации нефинансовых активов:</t>
  </si>
  <si>
    <t>основных средств</t>
  </si>
  <si>
    <t>нематериальных активов</t>
  </si>
  <si>
    <t>непроизведенных активов</t>
  </si>
  <si>
    <t>материальных запасов</t>
  </si>
  <si>
    <t>Поступления от финансовых операций - всего</t>
  </si>
  <si>
    <t>с финансовыми активами:</t>
  </si>
  <si>
    <t>от реализации ценных бумаг, кроме акций и иных форм участия в капитале</t>
  </si>
  <si>
    <t>от рализации акций и иных форм участия в капитале</t>
  </si>
  <si>
    <t>от возврата бюджетных ссуд и кредитов</t>
  </si>
  <si>
    <t>с иными финансовыми активами</t>
  </si>
  <si>
    <t>от осуществления заимствований</t>
  </si>
  <si>
    <t>в виде внутреннего государственного (муниципального)  долга</t>
  </si>
  <si>
    <t>в виде внешнего государственного долга</t>
  </si>
  <si>
    <t>00005050000000000242</t>
  </si>
  <si>
    <t>000.0801.4429900.852.290</t>
  </si>
  <si>
    <t>000.0801.4429900.244.310</t>
  </si>
  <si>
    <t>000.0801.4429900.242.340</t>
  </si>
  <si>
    <t>000.0801.4429900.244.340</t>
  </si>
  <si>
    <t>000.0801.4429900.244.224</t>
  </si>
  <si>
    <t>000.0801.4429900.242.225</t>
  </si>
  <si>
    <t>000.0801.4429900.244.225</t>
  </si>
  <si>
    <t>000.0801.4429900.242.226</t>
  </si>
  <si>
    <t>000.0801.4429900.244.226</t>
  </si>
  <si>
    <t>000.0806.4529900.001.212</t>
  </si>
  <si>
    <t>000.0806.4529900.001.213</t>
  </si>
  <si>
    <t>000.0901.4709900.001.000</t>
  </si>
  <si>
    <t>000.0901.4709900.001.211</t>
  </si>
  <si>
    <t>000.0901.4709900.001.212.</t>
  </si>
  <si>
    <t>000.0901.4709900.001.213</t>
  </si>
  <si>
    <t>000.0901.4709900.001.221</t>
  </si>
  <si>
    <t>000.0901.4709900.001.222</t>
  </si>
  <si>
    <t>000.0901.4709900.001.223</t>
  </si>
  <si>
    <t>000.0901.4709900.001.224</t>
  </si>
  <si>
    <t>000.0901.4709900.001.225</t>
  </si>
  <si>
    <t>000.0901.4709900.001.226</t>
  </si>
  <si>
    <t>000.0901.4709900.001.290</t>
  </si>
  <si>
    <t>000.0901.4709900.001.310</t>
  </si>
  <si>
    <t>000.0901.4709900.001.340</t>
  </si>
  <si>
    <t>000.0902.4709900.001.000</t>
  </si>
  <si>
    <t>000.0902.4709900.001.211</t>
  </si>
  <si>
    <t>000.0902.4709900.001.212</t>
  </si>
  <si>
    <t>000.0902.4709900.001213.</t>
  </si>
  <si>
    <t>000.0902.4709900.001.221</t>
  </si>
  <si>
    <t>000.0902.4709900.001.222</t>
  </si>
  <si>
    <t>000.0902.4709900.001.223</t>
  </si>
  <si>
    <t>000.0902.4709900.001.224</t>
  </si>
  <si>
    <t>000.0902.4709900.001.225</t>
  </si>
  <si>
    <t>декабрь</t>
  </si>
  <si>
    <t>000.0902.4709900.001.226</t>
  </si>
  <si>
    <t>Горно-Чуйского городского поселения</t>
  </si>
  <si>
    <t>000.0804.4529900.244.224</t>
  </si>
  <si>
    <t>000.0804.4529900.242.225</t>
  </si>
  <si>
    <t>000.0804.4529900.244.225</t>
  </si>
  <si>
    <t>000.0804.4529900.242.226</t>
  </si>
  <si>
    <t>000.0804.4529900.244.226</t>
  </si>
  <si>
    <t>000.0804.4529900.852.290.</t>
  </si>
  <si>
    <t>000.0804.4529900.244.290.</t>
  </si>
  <si>
    <t>000.0804.4529900.244.310</t>
  </si>
  <si>
    <t>000.0804.4529900.242.340</t>
  </si>
  <si>
    <t>000.0804.4529900.244.340</t>
  </si>
  <si>
    <t>000.1001.4910100.321.263</t>
  </si>
  <si>
    <t>000.0902.4789900.001.224</t>
  </si>
  <si>
    <t>000.0902.4789900.001.225</t>
  </si>
  <si>
    <t>000.0902.4789900.001.226</t>
  </si>
  <si>
    <t>000.0902.4789900.001.290</t>
  </si>
  <si>
    <t>000.0902.4789900.001.310</t>
  </si>
  <si>
    <t>000.0902.4789900.001.340</t>
  </si>
  <si>
    <t>за счет перечислений государственным и муниципальным организациям</t>
  </si>
  <si>
    <t>из них расходы на:</t>
  </si>
  <si>
    <t>Расходы дорожных фондов</t>
  </si>
  <si>
    <t>02530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</si>
  <si>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</si>
  <si>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</si>
  <si>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</si>
  <si>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</si>
  <si>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</si>
  <si>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</si>
  <si>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</si>
  <si>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</si>
  <si>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000.1006.7952700.000.000</t>
  </si>
  <si>
    <t>000.1006.7952700.244.226</t>
  </si>
  <si>
    <t>000.1006.7952700.244.290</t>
  </si>
  <si>
    <t>000.1006.7952700.244.340</t>
  </si>
  <si>
    <t>000.1101.5129700.000.000</t>
  </si>
  <si>
    <t>000.1101.5129700.244.222</t>
  </si>
  <si>
    <t>000.1101.5129700.244.226</t>
  </si>
  <si>
    <t>000.1101.5129700.244.290</t>
  </si>
  <si>
    <t>000.1101.5129700.244.310</t>
  </si>
  <si>
    <t>000.1101.5129700.244.340</t>
  </si>
  <si>
    <t xml:space="preserve">Субсидия на финансирование расходов, связанных с реализацией мероприятий перечня проектов народных инициатив </t>
  </si>
  <si>
    <t>0503/59300</t>
  </si>
  <si>
    <t>000.0309.2180100.244.226</t>
  </si>
  <si>
    <t>000.0309.2180100.244.340</t>
  </si>
  <si>
    <t>000.0309.2180100.244.310</t>
  </si>
  <si>
    <t>000,0309,2470000,244,226</t>
  </si>
  <si>
    <t>000,0309,2470000,244,340</t>
  </si>
  <si>
    <t>000 409 0000000 000 226</t>
  </si>
  <si>
    <t>000 501 00000000 000 226</t>
  </si>
  <si>
    <t>000 0503 0000000 000 226</t>
  </si>
  <si>
    <t>Увеличение стоимости  основных средств</t>
  </si>
  <si>
    <t>0503/60001</t>
  </si>
  <si>
    <t>0503/60002</t>
  </si>
  <si>
    <t>0503/60004</t>
  </si>
  <si>
    <t>0503/60005</t>
  </si>
  <si>
    <t xml:space="preserve">000 0503 0000000 000 226 </t>
  </si>
  <si>
    <t>000 0503 0000000 000 340</t>
  </si>
  <si>
    <t xml:space="preserve">000 1 16 30000 01 0000 140 </t>
  </si>
  <si>
    <t>000 1 16 90050 10 0000 140</t>
  </si>
  <si>
    <t>000 1 17 01050 05 0000 180</t>
  </si>
  <si>
    <t>000 1 17 01050 10 0000 180</t>
  </si>
  <si>
    <t>000 1 19 05000 05 0000 151</t>
  </si>
  <si>
    <t>837</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</si>
  <si>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</si>
  <si>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Субсидия на развития образования</t>
  </si>
  <si>
    <t>Денежные выплаты медецинскому персоналу фельдшерско-акушерских пунтов ,врачам,фельдшерам и медицинским сестрам скорой медицинской помощи</t>
  </si>
  <si>
    <t>000.0902.5201800.001.000</t>
  </si>
  <si>
    <t>000.0902.5201800.001.211</t>
  </si>
  <si>
    <t>000.0902.5201800.001.213</t>
  </si>
  <si>
    <t>000.0903.4709900.001.000</t>
  </si>
  <si>
    <t>000.0903.4709900.001.211</t>
  </si>
  <si>
    <t>000.0903.4709900.001.212</t>
  </si>
  <si>
    <t>000.0903.4709900.001.213</t>
  </si>
  <si>
    <t>000.0903.4709900.001.221</t>
  </si>
  <si>
    <t>000.0903.4709900.001.222</t>
  </si>
  <si>
    <t>000.0903.4709900.001.223</t>
  </si>
  <si>
    <t>000.0903.4709900.001.224</t>
  </si>
  <si>
    <t>000.0903.4709900.001.225</t>
  </si>
  <si>
    <t>000.0310.2470000.244.222</t>
  </si>
  <si>
    <t>000.0310.2470000.244.340</t>
  </si>
  <si>
    <t>000.0310.2749900.244.340</t>
  </si>
  <si>
    <t>000,0310.5930000.244.310</t>
  </si>
  <si>
    <t>000.0314.2749900.000.000</t>
  </si>
  <si>
    <t>000.0409.5224700.244.226</t>
  </si>
  <si>
    <t>000.0409.5224700.244.242</t>
  </si>
  <si>
    <t>000.0409.7950100.244.226</t>
  </si>
  <si>
    <t>000.0409.3150300.244.226</t>
  </si>
  <si>
    <t>000.0409.7950100.244.242</t>
  </si>
  <si>
    <t>000.0501.0980201.244.225</t>
  </si>
  <si>
    <t>000.0501,0980201.244.310</t>
  </si>
  <si>
    <t>000.0501.0980201.244.340</t>
  </si>
  <si>
    <t>000.0501.3500100.244.225</t>
  </si>
  <si>
    <t>000.0501.3500100.244.226</t>
  </si>
  <si>
    <t>000.0501.3500100.244.310</t>
  </si>
  <si>
    <t>000.0501.3500300.244.222</t>
  </si>
  <si>
    <t>000.0501.3500300.244.225</t>
  </si>
  <si>
    <t>000.0501.7950100.244.226</t>
  </si>
  <si>
    <t>000.0501.7950200.244.226</t>
  </si>
  <si>
    <t>000.0501.7950200.244.242</t>
  </si>
  <si>
    <t xml:space="preserve">ДЦП "Развитие автомобильных дорог общего пользования регионального или межмуниципального значения и местного значения в Иркутской области на 2011-2015 годы "
</t>
  </si>
  <si>
    <t>Реализация мероприятий перечня народных инициатив</t>
  </si>
  <si>
    <t>000.0502.3510300.244.310</t>
  </si>
  <si>
    <t>000.0502.3510500.244.222</t>
  </si>
  <si>
    <t>000.0502.3510500.244.340</t>
  </si>
  <si>
    <t>000.0502.5225400.244.310</t>
  </si>
  <si>
    <t>000.0503.6000100.242.340</t>
  </si>
  <si>
    <t>000.0503.6000100.244.226</t>
  </si>
  <si>
    <t>000.0503.6000100.244.242</t>
  </si>
  <si>
    <t>000.0503.6000100.244.310</t>
  </si>
  <si>
    <t>000.0503.6000100.244.340</t>
  </si>
  <si>
    <t>000.0503.6000100.000.000</t>
  </si>
  <si>
    <t>ОСТАТКИ СРЕДСТВ БЮДЖЕТОВ НА ОТЧЕТНУЮ ДАТУ:</t>
  </si>
  <si>
    <t>ПРОСРОЧЕННАЯ КРЕДИТОРСКАЯ  ЗАДОЛЖЕННОСТЬ, всего</t>
  </si>
  <si>
    <t>Мы полнения функций органами местного самоуправления</t>
  </si>
  <si>
    <t>Выполнения функций органами местного самоуправления</t>
  </si>
  <si>
    <t>000.0113.0020400.852.290</t>
  </si>
  <si>
    <t>000.0113.0020400.242.310</t>
  </si>
  <si>
    <t>000.0113.0020400.244.310</t>
  </si>
  <si>
    <t>000.0113.0020400.244.340</t>
  </si>
  <si>
    <t>000.0113.0020400.000.000</t>
  </si>
  <si>
    <t xml:space="preserve">                                                                                                                                                               на 1 января 2013 года                                                                                                          </t>
  </si>
  <si>
    <t>000 1 16 21050 01 0000 140</t>
  </si>
  <si>
    <t>000 1 06 06 013 05 0000 110</t>
  </si>
  <si>
    <t>000 116 33050 01 6000140</t>
  </si>
  <si>
    <t xml:space="preserve">000 1 16 30014 01 0000 140 </t>
  </si>
  <si>
    <t>00005050000000000000</t>
  </si>
  <si>
    <t>24000</t>
  </si>
  <si>
    <t>24100</t>
  </si>
  <si>
    <t>24200</t>
  </si>
  <si>
    <t>000 1 16 33050 10 0000 140</t>
  </si>
  <si>
    <t>ХЭС</t>
  </si>
  <si>
    <t>Подготовка к зиме поселениям</t>
  </si>
  <si>
    <t>библиотека</t>
  </si>
  <si>
    <t>Прочие субсидии бюджетам поселений 37940500</t>
  </si>
  <si>
    <t>000.0412.3400400.244.226</t>
  </si>
  <si>
    <t>000.0412.3400400.244.290</t>
  </si>
  <si>
    <t>Долгосрочная целевая программа Иркутской области "Поддержка и развитие малого и среднего предпринимательства в Иркутской области на 2012-2016 годы"с местного бюджета</t>
  </si>
  <si>
    <t xml:space="preserve">000 0409 0000000 000 242 </t>
  </si>
  <si>
    <t>000.0103.0020400.244.222</t>
  </si>
  <si>
    <t>000.0103.0020400.242.226</t>
  </si>
  <si>
    <t>000.0103.0020400.244.226</t>
  </si>
  <si>
    <t>000.0103.0020400.244.290</t>
  </si>
  <si>
    <t>000.0103.0020400.244.340</t>
  </si>
  <si>
    <t>000.0104.0020400.121.211</t>
  </si>
  <si>
    <t>Субсидия ( 75летие)</t>
  </si>
  <si>
    <t>00004120000000000000</t>
  </si>
  <si>
    <t>00005010000000000000</t>
  </si>
  <si>
    <t>Жилищное хозяйство</t>
  </si>
  <si>
    <t>Стационарная мед.помощь</t>
  </si>
  <si>
    <t>Амбулаторная мед.помощь</t>
  </si>
  <si>
    <t>Мед.помощь в дневных стационарах всех типов</t>
  </si>
  <si>
    <t>Скорая мед.помощь</t>
  </si>
  <si>
    <t>Другие вопросы в области здравоохранения</t>
  </si>
  <si>
    <t>Защита населения и территории от последствий чрезвычайных ситуаций природного и техногенного характера, гражданская оборона</t>
  </si>
  <si>
    <t>Благоустройство</t>
  </si>
  <si>
    <t>00005030000000000000</t>
  </si>
  <si>
    <t>Утвержденные бюджетные назначения</t>
  </si>
  <si>
    <t>000 1 11 05010 05 0000 120</t>
  </si>
  <si>
    <t>000 1 11 05010 10 0000 120</t>
  </si>
  <si>
    <t>000.0309.2190100.244.212</t>
  </si>
  <si>
    <t>000.0309.2190100.244.222</t>
  </si>
  <si>
    <t>000.0309.2190100.242.226</t>
  </si>
  <si>
    <t>000.0309.2190100.244.226</t>
  </si>
  <si>
    <t>000.0309.2190100.244.310</t>
  </si>
  <si>
    <t>000.0309.2190100.242.310</t>
  </si>
  <si>
    <t>000.0309.2190100.244.340</t>
  </si>
  <si>
    <t>000.0314.2749900.242.226</t>
  </si>
  <si>
    <t>000.0314.2749900.244.226</t>
  </si>
  <si>
    <t>000.0314.2749900.242.310</t>
  </si>
  <si>
    <t>000.0314.2749900.244.310</t>
  </si>
  <si>
    <t>000.0314.2749900.242.340</t>
  </si>
  <si>
    <t>000.0314.2749900.244.340</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</si>
  <si>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</si>
  <si>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</si>
  <si>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</si>
  <si>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</si>
  <si>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805</t>
  </si>
  <si>
    <t>Субсидия на поддержку соб дела(федер)</t>
  </si>
  <si>
    <t xml:space="preserve">Подпрограмма "Подготовка объектов коммунальной инфраструктуры Иркутской области к отопительному сезону в 2011-2013 годах" </t>
  </si>
  <si>
    <t>Субсидия в целях софинансирования расходов на приобретение и доставку топлива и горюче смазочных материалов   местный бюджет</t>
  </si>
  <si>
    <t>000.0502.5860000.244.242</t>
  </si>
  <si>
    <t>000.0701.4209900.111.211</t>
  </si>
  <si>
    <t>000.0701.4209900.112.212</t>
  </si>
  <si>
    <t>000.0701.4209900.111.213</t>
  </si>
  <si>
    <t>000.0701.4209900.242.221</t>
  </si>
  <si>
    <t>000.0701.4209900.244.221</t>
  </si>
  <si>
    <t>000.0701.4209900.244.222</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</si>
  <si>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</si>
  <si>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Консолидиро-ванный бюджет</t>
  </si>
  <si>
    <t>Оказание услуг по перевозке пассажиров по социально-значимых маршрутам</t>
  </si>
  <si>
    <t>бюджеты муниципаль-ных районов</t>
  </si>
  <si>
    <t>00005000000000000225</t>
  </si>
  <si>
    <t>00014030000000000000</t>
  </si>
  <si>
    <t>000 2 02 02999 10 0000 151</t>
  </si>
  <si>
    <t>000 2 02 03015 10 0000 151</t>
  </si>
  <si>
    <t>Неналоговые доходы</t>
  </si>
  <si>
    <t>Источники финансирования дефицита бюджетов - всего</t>
  </si>
  <si>
    <t>Получение кредитов от других бюджетов  бюджетной системы Российской Федерации  бюджетами поселений в валюте Российской  Федерации</t>
  </si>
  <si>
    <t>807</t>
  </si>
  <si>
    <t>ВО</t>
  </si>
  <si>
    <t>СО</t>
  </si>
  <si>
    <t>МО</t>
  </si>
  <si>
    <t>ЛО</t>
  </si>
  <si>
    <t>ГО</t>
  </si>
  <si>
    <t>000 2 02 03015 10 0000 151(воин.уч)</t>
  </si>
  <si>
    <t>Прочие расходы по благоустойству</t>
  </si>
  <si>
    <t>Увеличение стоимости материальных запасов( оздоровление детей)</t>
  </si>
  <si>
    <t>Дотация на сбалансированность</t>
  </si>
  <si>
    <t>Социальные пособия, выплачиваемые организациями сектора государственного управления(доплаты к пенсиям муниципальных служащих)</t>
  </si>
  <si>
    <t>Социальные выплаты(субсидии граждан на оплату жилого помещения и услуг)</t>
  </si>
  <si>
    <t>00010000000000000225</t>
  </si>
  <si>
    <t>май</t>
  </si>
  <si>
    <t>Дотации поддержку мер по обеспечению  на сбалансированности бюджетов</t>
  </si>
  <si>
    <t>13100</t>
  </si>
  <si>
    <t>13200</t>
  </si>
  <si>
    <t>000 1100 0000000 000 000</t>
  </si>
  <si>
    <t>в других сферах</t>
  </si>
  <si>
    <t>13600</t>
  </si>
  <si>
    <t>14000</t>
  </si>
  <si>
    <t>14100</t>
  </si>
  <si>
    <t>14200</t>
  </si>
  <si>
    <t>14600</t>
  </si>
  <si>
    <t>24грфакт</t>
  </si>
  <si>
    <t>район 4;6 гр</t>
  </si>
  <si>
    <t>район 14;16</t>
  </si>
  <si>
    <t>гр 4,6</t>
  </si>
  <si>
    <t>гр 14,16</t>
  </si>
  <si>
    <t>июль</t>
  </si>
  <si>
    <t>август</t>
  </si>
  <si>
    <t>000 2 02 04999 05 0000 151</t>
  </si>
  <si>
    <t>План район</t>
  </si>
  <si>
    <t xml:space="preserve">План консолидированный  </t>
  </si>
  <si>
    <t xml:space="preserve">  </t>
  </si>
  <si>
    <t>октябрь</t>
  </si>
  <si>
    <t>Прочие местные налоги и сборы, мобилизуемые на территориях муниципальных районов</t>
  </si>
  <si>
    <t>120551660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</si>
  <si>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межселенных территорий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</si>
  <si>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</si>
  <si>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 xml:space="preserve">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межселенных территорий и предназначенных для целей жилищного строительства </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</si>
  <si>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</si>
  <si>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КРУ</t>
  </si>
  <si>
    <t>000.0709.4529900.244.226</t>
  </si>
  <si>
    <t>000.0709.4529900.244.290</t>
  </si>
  <si>
    <t>000.0709.4529900.852.290</t>
  </si>
  <si>
    <t>000.0709.4529900.242.310</t>
  </si>
  <si>
    <t>000.0709.4529900.244.310</t>
  </si>
  <si>
    <t>000.0709.4529900.242.340</t>
  </si>
  <si>
    <t>000.0709.4529900.244.340</t>
  </si>
  <si>
    <t>16-Бюджеты муницип. райнов - бюджет</t>
  </si>
  <si>
    <t>18-Бюджеты городских и сельск. поселений - бюджет</t>
  </si>
  <si>
    <t>Наименование</t>
  </si>
  <si>
    <t>000.0910.4529900.001.310</t>
  </si>
  <si>
    <t>000.0910.4529900.001.340</t>
  </si>
  <si>
    <t>Региональная государственная целевая программа "Социальное развития села Иркутской области  до 2010 года"</t>
  </si>
  <si>
    <t>000.0910.5221800.003.000</t>
  </si>
  <si>
    <t>000.0910.5221800.003.310</t>
  </si>
  <si>
    <t>000.0806.4529900.001.221</t>
  </si>
  <si>
    <t>000.0806.4529900.001.222</t>
  </si>
  <si>
    <t>000.0806.4529900.001.223</t>
  </si>
  <si>
    <t>000.0806.4529900.001.224</t>
  </si>
  <si>
    <t>000.0806.4529900.001.225</t>
  </si>
  <si>
    <t>000.0806.4529900.001.226</t>
  </si>
  <si>
    <t>000.0806.4529900.001290.</t>
  </si>
  <si>
    <t>000.0806.4529900.001.310</t>
  </si>
  <si>
    <t>000.0806.4529900.001.340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</si>
  <si>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</si>
  <si>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00010000000000000223</t>
  </si>
  <si>
    <t>00008000000000000262</t>
  </si>
  <si>
    <t>0000309000000000000</t>
  </si>
  <si>
    <t>00010000000000000340</t>
  </si>
  <si>
    <t>00003000000000000225</t>
  </si>
  <si>
    <t>00003000000000000340</t>
  </si>
  <si>
    <t>00003000000000000226</t>
  </si>
  <si>
    <t>Налог на имущество предприятий</t>
  </si>
  <si>
    <t>Земельный налог (по обязательствам, возникшим до 1 января 2006 года), мобилизуемый на территориях поселений</t>
  </si>
  <si>
    <t>00010000000000000211</t>
  </si>
  <si>
    <t>00010000000000000213</t>
  </si>
  <si>
    <t>00010000000000000221</t>
  </si>
  <si>
    <t>00010000000000000310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</si>
  <si>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</si>
  <si>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</si>
  <si>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</si>
  <si>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</si>
  <si>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000 1120101001 0000 120</t>
  </si>
  <si>
    <t xml:space="preserve"> 000 1120102001 0000 120</t>
  </si>
  <si>
    <t xml:space="preserve"> 000 1120103001 0000 120</t>
  </si>
  <si>
    <t xml:space="preserve"> 000 1120104001 0000 120</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</si>
  <si>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</si>
  <si>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</si>
  <si>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субъектов Российской Федерации</t>
  </si>
  <si>
    <t xml:space="preserve">  Единый налог на вмененный доход для отдельных видов деятельности (за налоговые периоды, истекшие до 1 января 2011 года)</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</si>
  <si>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</si>
  <si>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</si>
  <si>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</si>
  <si>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Возврат остатков субсидий, субвенций и иных межбюджетных трансфертов, имеющих целевое назначение, прошлых лет из бюджетов поселений</t>
  </si>
  <si>
    <t>Доходы от реализации имущества, находящегося в оперативном управлении учреждений, находящихся в ведении органов управления поселений (в части реализации материальных запасов по указанному имуществу)</t>
  </si>
  <si>
    <t>000 116 90 050 05 0000 140</t>
  </si>
  <si>
    <t>000 1 01 02010 01 0000 110</t>
  </si>
  <si>
    <t>000 1 01 02021 01 0000 110</t>
  </si>
  <si>
    <t>000 1 01 02022 01 0000 110</t>
  </si>
  <si>
    <t>000 1 01 02030 01 0000 110</t>
  </si>
  <si>
    <t>000 1 01 02040 01 0000 110</t>
  </si>
  <si>
    <t>000 1 01 02050 01 0000 110</t>
  </si>
  <si>
    <t>внутр обороты 000 2 02 04999 10 0000 151</t>
  </si>
  <si>
    <t>000 1 05 01010 01 0000 110</t>
  </si>
  <si>
    <t>000 1 06 04011 02 0000 110</t>
  </si>
  <si>
    <t>000 106 04 012 02 0000 110</t>
  </si>
  <si>
    <t>000 1 06 06 013 10 0000 110</t>
  </si>
  <si>
    <t>000 1 06 01030 10 0000 110</t>
  </si>
  <si>
    <t>000 1 06 06023 10 0000 110</t>
  </si>
  <si>
    <t>000 1 07 01020 01 0000 110</t>
  </si>
  <si>
    <t>000 1 07 01030 01 0000 110</t>
  </si>
  <si>
    <t>000 1 08 03010 01 0000 110</t>
  </si>
  <si>
    <t>000 1 08 07 140  01 0000 110</t>
  </si>
  <si>
    <t>000 1 09 01030 05 0000 110</t>
  </si>
  <si>
    <t>000 1 09 03010 05 0000 110</t>
  </si>
  <si>
    <t>000 1 09 04010 02 0000 110</t>
  </si>
  <si>
    <t>000.0409000000000000</t>
  </si>
  <si>
    <t>Долгосрочная областная целевая программа "Развитие автомобильных дорог общего пользования регионального или межмуниципального значения и местного значения в Иркутской области на 2011-2014 годы"</t>
  </si>
  <si>
    <t>Отдельные мероприятия в области дорожного хозяйства</t>
  </si>
  <si>
    <t>000 1 09 04050 10 0000 110</t>
  </si>
  <si>
    <t>000 1 09 06010 02 0000 110</t>
  </si>
  <si>
    <t>000 1 09 07050 05 0000 110</t>
  </si>
  <si>
    <t>000 1 11 05012 05 0000 120</t>
  </si>
  <si>
    <t>10800</t>
  </si>
  <si>
    <t>10801</t>
  </si>
  <si>
    <t>10900</t>
  </si>
  <si>
    <t>10901</t>
  </si>
  <si>
    <t>10902</t>
  </si>
  <si>
    <t>10905</t>
  </si>
  <si>
    <t>10910</t>
  </si>
  <si>
    <t>госполномочия (многодетные)</t>
  </si>
  <si>
    <t>госполномочия комиссия по делам  несовер</t>
  </si>
  <si>
    <t>госполномочия (охрана труда)</t>
  </si>
  <si>
    <t>госполномочия(регулир.тарифов)</t>
  </si>
  <si>
    <t>000 2 07 05000 10 0000 180</t>
  </si>
  <si>
    <t>госполномочия(административные комитеты)</t>
  </si>
  <si>
    <t>Бюджет муниципальных районов</t>
  </si>
  <si>
    <t>Мамскко-Чуйский муниципальный район</t>
  </si>
  <si>
    <t>бюджетная деятельность</t>
  </si>
  <si>
    <t>Департамент финансов Иркутской области</t>
  </si>
  <si>
    <t>806</t>
  </si>
  <si>
    <t>Субсидия на реализацию мероприятий перечня проектов народных инициатив</t>
  </si>
  <si>
    <t>000 0309 0000000 000 222</t>
  </si>
  <si>
    <t>10102</t>
  </si>
  <si>
    <t>000.0702.005000.001.000</t>
  </si>
  <si>
    <t>000.0702.0025000.001.212</t>
  </si>
  <si>
    <t>000.0702.0025000.001.213</t>
  </si>
  <si>
    <t>000.0702.0025000.001.221</t>
  </si>
  <si>
    <t>000.0702.0025000.001.222</t>
  </si>
  <si>
    <t>000.0702.0025000.001.223</t>
  </si>
  <si>
    <t>000.0702.0025000.001.224</t>
  </si>
  <si>
    <t>000.0702.0025000.001.225</t>
  </si>
  <si>
    <t>000.0702.0025000.001.226</t>
  </si>
  <si>
    <t>000.0702.0025000.001.290</t>
  </si>
  <si>
    <t>000.0702.0025000.001.310</t>
  </si>
  <si>
    <t>000.0702.0025000.001.340</t>
  </si>
  <si>
    <t>000.1403.5210310.017.251</t>
  </si>
  <si>
    <t>000.1403.6000000.017.251</t>
  </si>
  <si>
    <t>000.1403.000000.000.251</t>
  </si>
  <si>
    <t>000.0412.3400400.500.241</t>
  </si>
  <si>
    <t>000.0412.3400400.500.242</t>
  </si>
  <si>
    <t>Уличное освещение</t>
  </si>
  <si>
    <t>000.01001.4940100.005.000</t>
  </si>
  <si>
    <t>000.1001.4940100.005.263</t>
  </si>
  <si>
    <t>000.1003.5054800.500.000</t>
  </si>
  <si>
    <t>000.1003.5054800.500.211</t>
  </si>
  <si>
    <t>000.1003.5054800.500.213</t>
  </si>
  <si>
    <t>000.1003.5058500.500.000</t>
  </si>
  <si>
    <t>000.1003.5054800.005.262</t>
  </si>
  <si>
    <t>000.1003.5054800.005.000</t>
  </si>
  <si>
    <t>Социальные выплаты</t>
  </si>
  <si>
    <t>000.1003.5058500.500.262</t>
  </si>
  <si>
    <t>Предоставление мер социальной поддержки семьям,имеющим детей</t>
  </si>
  <si>
    <t xml:space="preserve">Обеспечение пожарной безопасности </t>
  </si>
  <si>
    <t>00003100000000000000</t>
  </si>
  <si>
    <t>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комиссий по делам несовершеннолетних и защите их прав</t>
  </si>
  <si>
    <t>000 2 02 03024 10 0000 151 (гос.полномочия)</t>
  </si>
  <si>
    <t>000.1101.5160130.008.000</t>
  </si>
  <si>
    <t>000 1 11 05035 05 0000 120</t>
  </si>
  <si>
    <t>000 1 12 01000 01 0000 120</t>
  </si>
  <si>
    <t>000 1 14 02032 10 0000 440</t>
  </si>
  <si>
    <t>000 1 16 03 010 01 0000 140</t>
  </si>
  <si>
    <t>000 1 11 05035 10 0000 120</t>
  </si>
  <si>
    <t>000 1 16 03030 01 0000 140</t>
  </si>
  <si>
    <t>000 1 16 06000 01 0000 140</t>
  </si>
  <si>
    <t>000 1 16 08000 01 0000 140</t>
  </si>
  <si>
    <t>000 1 16 25010 01 0000 140</t>
  </si>
  <si>
    <t>000 1 16 25030 01 0000 140</t>
  </si>
  <si>
    <t>01000</t>
  </si>
  <si>
    <t>06100</t>
  </si>
  <si>
    <t>Социальное обеспечение</t>
  </si>
  <si>
    <t>Расходы, осуществляемые за счет субвенций, поступающих от других бюджетов бюджетной системы</t>
  </si>
  <si>
    <t>000 1 16 25060 01 0000 140</t>
  </si>
  <si>
    <t>000 1 16 25080 01 0000 140</t>
  </si>
  <si>
    <t xml:space="preserve">Денежные взыскания (штрафы) за нарушения водного законадательства </t>
  </si>
  <si>
    <t>Денежные взыскания (штрафы) за нарушения законадательства о недрах</t>
  </si>
  <si>
    <t>000 1 16 27000 01 0000 140</t>
  </si>
  <si>
    <t>000.1101.5160130.008.251</t>
  </si>
  <si>
    <t>000.1104.5210600.017.000</t>
  </si>
  <si>
    <t>000.1100.000000.000.000</t>
  </si>
  <si>
    <t>Строительство,содержание дорог автомобильных дорог и инженерные сооружения на них в грницах городских поселений в рамках блогоустройства</t>
  </si>
  <si>
    <t>Озеленение</t>
  </si>
  <si>
    <t>Организация содержания мест захоронения</t>
  </si>
  <si>
    <t>000.0503.6000100.500.000</t>
  </si>
  <si>
    <t>000.0503.6000100.500.241</t>
  </si>
  <si>
    <t>000.0503.6000200.500.000</t>
  </si>
  <si>
    <t>000.0503.6000200.500.241</t>
  </si>
  <si>
    <t>000.0503.6000300.500.241</t>
  </si>
  <si>
    <t>000.0503.6000300.500.000</t>
  </si>
  <si>
    <t>000.0503.6000400.500.000</t>
  </si>
  <si>
    <t>000.0503.6000400.500.241</t>
  </si>
  <si>
    <t>Школы начальные,неполные ,среднее</t>
  </si>
  <si>
    <t>000.0702.4219900.001.000</t>
  </si>
  <si>
    <t>000.0801.4429900.001.211</t>
  </si>
  <si>
    <t>000.0801.4429900.001.212</t>
  </si>
  <si>
    <t>000.0801.4429900.001.213</t>
  </si>
  <si>
    <t>000.0801.4429900.001.221</t>
  </si>
  <si>
    <t>000.0801.4429900.001.222</t>
  </si>
  <si>
    <t>000.0801.4429900.001.223</t>
  </si>
  <si>
    <t>000.0801.4429900.001.224</t>
  </si>
  <si>
    <t>000.0801.4429900.001.225</t>
  </si>
  <si>
    <t>000.0801.4429900.001.226</t>
  </si>
  <si>
    <t>000.0801.4429900.001.262</t>
  </si>
  <si>
    <t>000.0801.4429900.001.290</t>
  </si>
  <si>
    <t>000.0801.4429900.001.310</t>
  </si>
  <si>
    <t>000.0801.4429900.001.340</t>
  </si>
  <si>
    <t>000.0801.4500600.001.000</t>
  </si>
  <si>
    <t>000.0801.4500600.001.310</t>
  </si>
  <si>
    <t>000.0803.4508500.500.000</t>
  </si>
  <si>
    <t>000.0803.4508500.500.226</t>
  </si>
  <si>
    <t>000.0804.4560000.006.000</t>
  </si>
  <si>
    <t>000.00804.456000.006.241</t>
  </si>
  <si>
    <t>Транспортные расходы</t>
  </si>
  <si>
    <t>000 0502 0000000 000 222</t>
  </si>
  <si>
    <t>Справочно:</t>
  </si>
  <si>
    <t>КСП</t>
  </si>
  <si>
    <t>Руководство и управление в сфере установленных функций органов местного самоуправление</t>
  </si>
  <si>
    <t>000.0806.0020400.500.000</t>
  </si>
  <si>
    <t>000.0806.0020400.500.211</t>
  </si>
  <si>
    <t>000.0806.0020400.500.212</t>
  </si>
  <si>
    <t>000.0806.0020400.500.213</t>
  </si>
  <si>
    <t>000.0806.0020400.500.221</t>
  </si>
  <si>
    <t>000.0806.0020400.500.222</t>
  </si>
  <si>
    <t>000.0806.0020400.500.223</t>
  </si>
  <si>
    <t>000.0806.0020400.500.224</t>
  </si>
  <si>
    <t>000.0806.0020400.500.225</t>
  </si>
  <si>
    <t>000.0806.0020400.500.226</t>
  </si>
  <si>
    <t>000.0806.0020400.500.290</t>
  </si>
  <si>
    <t>000.0806.0020400.500.310</t>
  </si>
  <si>
    <t>000.0806.0020400.500.340</t>
  </si>
  <si>
    <t>000.0806.4529900.001.000</t>
  </si>
  <si>
    <t>000.0806.4529900.001.211</t>
  </si>
  <si>
    <t xml:space="preserve">  Безвозмездные перечисления организациям, за исключением государственных и муниципальных организаций</t>
  </si>
  <si>
    <t>000.0801.4409900.000.000</t>
  </si>
  <si>
    <t>000.0801.4409900.111.211</t>
  </si>
  <si>
    <t>000.0801.4409900.112.212</t>
  </si>
  <si>
    <t>000.0801.4409900.111.213</t>
  </si>
  <si>
    <t>000.0801.4409900.242.221</t>
  </si>
  <si>
    <t>000.0801.4409900.244.221</t>
  </si>
  <si>
    <t>000.0801.4409900.852.290</t>
  </si>
  <si>
    <t>000.0801.4409900.244.222</t>
  </si>
  <si>
    <t>000.0801.4409900.244.223</t>
  </si>
  <si>
    <t>000.0801.4409900.244.224</t>
  </si>
  <si>
    <t>000.0801.4409900.242.225</t>
  </si>
  <si>
    <t>000.0801.4409900.244.225</t>
  </si>
  <si>
    <t>000.0801.4409900.242.226</t>
  </si>
  <si>
    <t>000.0801.4409900.244.226</t>
  </si>
  <si>
    <t>000.0801.4409900.244.262</t>
  </si>
  <si>
    <t>000.0801.4409900.244.290</t>
  </si>
  <si>
    <t>000.0801.4409900.242.310</t>
  </si>
  <si>
    <t>000.0801.4409900.244.310</t>
  </si>
  <si>
    <t>000.0801.4409900.242.340</t>
  </si>
  <si>
    <t>000.0801.4409900.244.340</t>
  </si>
  <si>
    <t>000.0801.4419900.000.000</t>
  </si>
  <si>
    <t>000.0801.4419900.111.211</t>
  </si>
  <si>
    <t>000.0801.4419900.112.212</t>
  </si>
  <si>
    <t>000.0801.4419900.111.213</t>
  </si>
  <si>
    <t>000.0801.4419900.242.221</t>
  </si>
  <si>
    <t>000.0801.4419900.244.221</t>
  </si>
  <si>
    <t>000.0801.4419900.244.223</t>
  </si>
  <si>
    <t>000.0801.4419900.244.224</t>
  </si>
  <si>
    <t>000.0801.4419900.244.225</t>
  </si>
  <si>
    <t>000.0801.4419900.242.225</t>
  </si>
  <si>
    <t>000.0801.4419900.242.226</t>
  </si>
  <si>
    <t>000.0801.4419900.244.226</t>
  </si>
  <si>
    <t>000.0801.4419900.244.262</t>
  </si>
  <si>
    <t>000.0801.4419900.852.290</t>
  </si>
  <si>
    <t>000.0801.4419900.244.290</t>
  </si>
  <si>
    <t>000.0801.4419900.244.310</t>
  </si>
  <si>
    <t>000.0801.4419900.242.340</t>
  </si>
  <si>
    <t>000.0801.4419900.244.340</t>
  </si>
  <si>
    <t>000.0801.4429900.000.000</t>
  </si>
  <si>
    <t>000.0801.4429900.111.211</t>
  </si>
  <si>
    <t>000.0801.4429900.112.212</t>
  </si>
  <si>
    <t>000.0801.4429900.111.213</t>
  </si>
  <si>
    <t>000.0801.4429900.242.221</t>
  </si>
  <si>
    <t>000.0801.4429900.244.221</t>
  </si>
  <si>
    <t>000.0801.4429900.244.222</t>
  </si>
  <si>
    <t>000.0801.4429900.244.223</t>
  </si>
  <si>
    <t>внутр обороты 000 2 02 0100 11 0000 151</t>
  </si>
  <si>
    <t>Всего дотации  20201001100000</t>
  </si>
  <si>
    <t>000 2 02 02079 10 0000 151</t>
  </si>
  <si>
    <t>Субсидия ( нородные инициативы)</t>
  </si>
  <si>
    <t>Дотации бюджетам поселений на выравнивание уровня бюджетной обеспеченности поселений(район)</t>
  </si>
  <si>
    <r>
      <t>Дотации бюджетам поселений на выравнивание уровня бюджетной обеспеченности поселений(</t>
    </r>
    <r>
      <rPr>
        <b/>
        <sz val="9"/>
        <rFont val="Arial Cyr"/>
        <charset val="204"/>
      </rPr>
      <t>район</t>
    </r>
    <r>
      <rPr>
        <sz val="9"/>
        <rFont val="Arial Cyr"/>
        <family val="2"/>
        <charset val="204"/>
      </rPr>
      <t>)</t>
    </r>
  </si>
  <si>
    <r>
      <t>Дотации бюджетам поселений на выравнивание уровня бюджетной обеспеченности поселений(</t>
    </r>
    <r>
      <rPr>
        <b/>
        <sz val="9"/>
        <rFont val="Arial Cyr"/>
        <charset val="204"/>
      </rPr>
      <t>район)</t>
    </r>
  </si>
  <si>
    <t>000 0801 0000000 000 000</t>
  </si>
  <si>
    <t>Осуществление органами МСУ областных государственных полномочий по предоставлению мер социальной поддержки многодетным и малоимущим семьям</t>
  </si>
  <si>
    <t>Содержание и обеспечение деятельности муниципальных служащих, осуществляющих областные государственные полномочия по предоставлению гражданам субсидий на оплату жилых помещений и коммунальных услуг</t>
  </si>
  <si>
    <t>000.0904.4709900.001.340</t>
  </si>
  <si>
    <t>000.0904.5201800.001.000</t>
  </si>
  <si>
    <t>000.0904.5201800.001.211</t>
  </si>
  <si>
    <t>000.0904.5201800.001.213</t>
  </si>
  <si>
    <t>000.0908.5129700.500.000</t>
  </si>
  <si>
    <t>000.0908.5129700.500.226</t>
  </si>
  <si>
    <t>000.0908.5129700.500.340</t>
  </si>
  <si>
    <t>000.0910.4529900.001.000</t>
  </si>
  <si>
    <t>000.0910.4529900.001.211</t>
  </si>
  <si>
    <t>000.0910.4529900.001.212</t>
  </si>
  <si>
    <t>000.0910.4529900.001.213</t>
  </si>
  <si>
    <t>000.0910.4529900.001.221</t>
  </si>
  <si>
    <t>000.0910.4529900.001.222</t>
  </si>
  <si>
    <t>000.0910.4529900.001.223</t>
  </si>
  <si>
    <t>000.0910.4529900.001.224</t>
  </si>
  <si>
    <t>000.0910.4529900.001.225</t>
  </si>
  <si>
    <t>000.0910.4529900.001.226</t>
  </si>
  <si>
    <t>000.0910.4529900.001.290</t>
  </si>
  <si>
    <t>00005000000000000242</t>
  </si>
  <si>
    <t>000.0910.4529900.001.262</t>
  </si>
  <si>
    <t>ПОСТУПЛЕНИЯ</t>
  </si>
  <si>
    <t>Поступления по текущим операциям -всего</t>
  </si>
  <si>
    <t>по налоговым доходам</t>
  </si>
  <si>
    <t>по доходам от собственности</t>
  </si>
  <si>
    <t>по доходам от оказания платных услуг</t>
  </si>
  <si>
    <t>по суммам принудительного изъятия</t>
  </si>
  <si>
    <t>Субсидия на выплату ден.содержания с начислениями на него,  главам, муниципальным служащим поселения Ирутской области, а также з/платы с начислениями на нее , техническому и вспомогательному  персоналу органов местного самоуправления поселений Иркутской области</t>
  </si>
  <si>
    <t>000 2 02 02116 10 0000 151</t>
  </si>
  <si>
    <t>000 0501 0000000 000000</t>
  </si>
  <si>
    <t>000.0902.4709900.001.290</t>
  </si>
  <si>
    <t>000.0902.4709900.001.310</t>
  </si>
  <si>
    <t>000.0902.4709900.001.340</t>
  </si>
  <si>
    <t>Фельдшерско-акушерские пункты</t>
  </si>
  <si>
    <t>000.0902.4789900.001.000</t>
  </si>
  <si>
    <t>000.0902.4789900.001.211</t>
  </si>
  <si>
    <t>000.0902.4789900.001.212</t>
  </si>
  <si>
    <t>000.0902.4789900.001.213</t>
  </si>
  <si>
    <t>000.0709.00000000000000</t>
  </si>
  <si>
    <t>000.0702.00000000000000</t>
  </si>
  <si>
    <t>Общее образоваие</t>
  </si>
  <si>
    <t>000.0701.000000.000.000</t>
  </si>
  <si>
    <t>000.0801.00000000.000</t>
  </si>
  <si>
    <t>000.0804.00000000000000</t>
  </si>
  <si>
    <t>Другие вопросы в области культуры,кинематографии и средств массовой информации</t>
  </si>
  <si>
    <t>000.1003.00000000000000</t>
  </si>
  <si>
    <t>000.1006.000000.000.000</t>
  </si>
  <si>
    <t>Другие вопросы в социальной политике</t>
  </si>
  <si>
    <t>000.0902.4789900.001.221</t>
  </si>
  <si>
    <t>000.0902.4789900.001.222</t>
  </si>
  <si>
    <t>000.0902.4789900.001.223</t>
  </si>
  <si>
    <t>Областная долгосрочная целевая программа "Публичные цыентры правовой,деловой и социально-значимой информации центральных районных библиотек Иркутской области 2013-2014"</t>
  </si>
  <si>
    <t>000.0804.4529900.000.000</t>
  </si>
  <si>
    <t>000.0804.4529900.111.211</t>
  </si>
  <si>
    <t>000.0804.4529900.112.212</t>
  </si>
  <si>
    <t>000.0804.4529900.111.213</t>
  </si>
  <si>
    <t>000.0804.4529900.242.221</t>
  </si>
  <si>
    <t>000.0804.4529900.244.222</t>
  </si>
  <si>
    <t>000.0804.4529900.244.223</t>
  </si>
  <si>
    <t>000.0503.6000200.244.340</t>
  </si>
  <si>
    <t>000.0503.6000200.000.000</t>
  </si>
  <si>
    <t>000.0503.6000300.000.000</t>
  </si>
  <si>
    <t>000.0503.6000300.244.242</t>
  </si>
  <si>
    <t>000.0503.6000400.000.000</t>
  </si>
  <si>
    <t>000.0503.6000400.244.226</t>
  </si>
  <si>
    <t>000.0503.6000500.244.226</t>
  </si>
  <si>
    <t>000.0503.6000500.244.340</t>
  </si>
  <si>
    <t>000.1001.4910100.244.263</t>
  </si>
  <si>
    <t>000.1101.5930000.244.310</t>
  </si>
  <si>
    <t>000.1101.5930000.244.340]</t>
  </si>
  <si>
    <t>000,1105,5930000,244,226</t>
  </si>
  <si>
    <t>000,1105,5930000,244310</t>
  </si>
  <si>
    <t>000.1105.5129700.000.000</t>
  </si>
  <si>
    <t>000.1105.5129700.244.226</t>
  </si>
  <si>
    <t>000.1105.5129700.244.290</t>
  </si>
  <si>
    <t>000.1105.5129700.244.310</t>
  </si>
  <si>
    <t>000.1105.5129700.244.340</t>
  </si>
  <si>
    <t>000 2 02 021050 10 0000 151</t>
  </si>
  <si>
    <t>Суммы, подлежащие взаимоисключению,  - всего</t>
  </si>
  <si>
    <t>безвозмездные поступления от других бюджетов бюджетной системы Российской Федерации</t>
  </si>
  <si>
    <t>поступление бюджетных кредитов от других бюджетов бюджетной системы Российской Федерации</t>
  </si>
  <si>
    <t>поступления от возвратов  бюджетных кредитов, выданных  другими бюджетами бюджетной системы Российской Федерации</t>
  </si>
  <si>
    <t>поступления доходов от уплаты процентов, пеней  и штрафных санкций по выданным бюджетным кредитам</t>
  </si>
  <si>
    <t>ВЫБЫТИЯ</t>
  </si>
  <si>
    <t>Выбытия по текущим операциям - всего</t>
  </si>
  <si>
    <t>за счет оплаты труда и начислений на выплаты по оплате труда</t>
  </si>
  <si>
    <t>за счет заработной платы</t>
  </si>
  <si>
    <t>за счет прочих выплат</t>
  </si>
  <si>
    <t>за счет начислений на оплату труда</t>
  </si>
  <si>
    <t>за счет приобретения работ, услуг</t>
  </si>
  <si>
    <t>услуг связи</t>
  </si>
  <si>
    <t>транспортных услуг</t>
  </si>
  <si>
    <t>коммунальных услуг</t>
  </si>
  <si>
    <t>арендной платы за пользование имуществом</t>
  </si>
  <si>
    <t>работ,  услуг по содержанию имущества</t>
  </si>
  <si>
    <t>прочих услуг</t>
  </si>
  <si>
    <t>за счет обслуживания долговых обязательств</t>
  </si>
  <si>
    <t>внутреннего долга</t>
  </si>
  <si>
    <t>внешнего долга</t>
  </si>
  <si>
    <t>000.0102.000000.121.211</t>
  </si>
  <si>
    <t>000.0102.000000.122.212</t>
  </si>
  <si>
    <t>000.0103.000000.122.212</t>
  </si>
  <si>
    <t>000.0103.000000.242.226</t>
  </si>
  <si>
    <t>000.0103.000000.242.340</t>
  </si>
  <si>
    <t>000.0103.000000.244.222</t>
  </si>
  <si>
    <t>000.0103.000000.244.226</t>
  </si>
  <si>
    <t>000.0103.000000.244.290</t>
  </si>
  <si>
    <t>000.0103.000000.244.340</t>
  </si>
  <si>
    <t>000.0104.000000.121.211</t>
  </si>
  <si>
    <t>000.0104.000000.122.212</t>
  </si>
  <si>
    <t>000.0104.000000.242.221</t>
  </si>
  <si>
    <t>000.0104.000000.242.226</t>
  </si>
  <si>
    <t>000.0104.000000.242.310</t>
  </si>
  <si>
    <t>000.0104.000000.242.340</t>
  </si>
  <si>
    <t>000.0104.000000.244.221</t>
  </si>
  <si>
    <t>000.0104.000000.244.222</t>
  </si>
  <si>
    <t>000.0104.000000.244.223</t>
  </si>
  <si>
    <t>000.0104.000000.244.225</t>
  </si>
  <si>
    <t>000.0104.000000.244.226</t>
  </si>
  <si>
    <t>000.0104.000000.244.290</t>
  </si>
  <si>
    <t>000.0104.000000.244.310</t>
  </si>
  <si>
    <t>000.0104.000000.244.340</t>
  </si>
  <si>
    <t>000.0104.000000.852.290</t>
  </si>
  <si>
    <t>000.0106.000000.121.211</t>
  </si>
  <si>
    <t>000.0106.000000.122.212</t>
  </si>
  <si>
    <t>000.0106.000000.242.221</t>
  </si>
  <si>
    <t>000.0106.000000.242.226</t>
  </si>
  <si>
    <t>000.0106.000000.242.310</t>
  </si>
  <si>
    <t>000.0106.000000.242.340</t>
  </si>
  <si>
    <t>000.0106.000000.244.221</t>
  </si>
  <si>
    <t>000.0106.000000.244.222</t>
  </si>
  <si>
    <t>000.0106.000000.244.223</t>
  </si>
  <si>
    <t>000.0106.000000.244.225</t>
  </si>
  <si>
    <t>000.0106.000000.244.226</t>
  </si>
  <si>
    <t>000.0106.000000.244.290</t>
  </si>
  <si>
    <t>000.0106.000000.244.310</t>
  </si>
  <si>
    <t>000.0106.000000.244.340</t>
  </si>
  <si>
    <t>000.0106.000000.852.290</t>
  </si>
  <si>
    <t>000.0113.00000000.111.211</t>
  </si>
  <si>
    <t>000.0113.00000000.112.212</t>
  </si>
  <si>
    <t>000.0113.00000000.121.211</t>
  </si>
  <si>
    <t>000.0113.00000000.122.212</t>
  </si>
  <si>
    <t>000.0113.00000000.242.221</t>
  </si>
  <si>
    <t>000.0113.00000000.242.225</t>
  </si>
  <si>
    <t>000.0113.00000000.242.226</t>
  </si>
  <si>
    <t>000.0113.00000000.242.310</t>
  </si>
  <si>
    <t>000.0113.00000000.242.340</t>
  </si>
  <si>
    <t>000.0113.00000000.244.221</t>
  </si>
  <si>
    <t>000.0113.00000000.244.222</t>
  </si>
  <si>
    <t>000.0113.00000000.244.223</t>
  </si>
  <si>
    <t>000.0113.00000000.244.225</t>
  </si>
  <si>
    <t>000.0113.00000000.244.226</t>
  </si>
  <si>
    <t>000.0113.00000000.244.290</t>
  </si>
  <si>
    <t>000.0113.00000000.244.310</t>
  </si>
  <si>
    <t>000.0113.00000000.244.340</t>
  </si>
  <si>
    <t>000.0113.00000000.852.290</t>
  </si>
  <si>
    <t>000.0302.00000000.</t>
  </si>
  <si>
    <t>000.0302.00000000.244.226</t>
  </si>
  <si>
    <t>000.0302.00000000.244.340</t>
  </si>
  <si>
    <t>0000.0309.0000000.122.212</t>
  </si>
  <si>
    <t>0000.0309.0000000.244.222</t>
  </si>
  <si>
    <t>0000.0309.0000000.244.226</t>
  </si>
  <si>
    <t>0000.0309.0000000.244.310</t>
  </si>
  <si>
    <t>0000.0309.0000000.244.340</t>
  </si>
  <si>
    <t>000.0314.0000000.242.340</t>
  </si>
  <si>
    <t>000.0314.0000000.244.222</t>
  </si>
  <si>
    <t>000.0314.0000000.244.226</t>
  </si>
  <si>
    <t>000.0314.0000000.244.310</t>
  </si>
  <si>
    <t>000.0314.0000000.244.340</t>
  </si>
  <si>
    <t>000.0401.0000000.121.211</t>
  </si>
  <si>
    <t>000.0401.0000000.242.221</t>
  </si>
  <si>
    <t>000.0401.0000000.122.212</t>
  </si>
  <si>
    <t>000.0401.0000000.242.226</t>
  </si>
  <si>
    <t>000.0401.0000000.242.340</t>
  </si>
  <si>
    <t>000.0401.0000000.244.340</t>
  </si>
  <si>
    <t>000.0405.0000000.000.000</t>
  </si>
  <si>
    <t>000.0405.0000000.244.290</t>
  </si>
  <si>
    <t>000.0409.0000000.810.242</t>
  </si>
  <si>
    <t>000.0412.0000000.244.290</t>
  </si>
  <si>
    <t>000.0412.0000000.810.242</t>
  </si>
  <si>
    <t>000.0502.0000000.244.225</t>
  </si>
  <si>
    <t>000.0701.0000000.111.211</t>
  </si>
  <si>
    <t>000.0701.0000000.112.212</t>
  </si>
  <si>
    <t>000.0701.0000000.242.221</t>
  </si>
  <si>
    <t>000.0701.0000000.242.225</t>
  </si>
  <si>
    <t>000.0701.0000000.242.226</t>
  </si>
  <si>
    <t>000.0701.0000000.242.310</t>
  </si>
  <si>
    <t>000.0701.0000000.242.340</t>
  </si>
  <si>
    <t>000.0701.0000000.244.222</t>
  </si>
  <si>
    <t>000.0701.0000000.244.223</t>
  </si>
  <si>
    <t>000.0701.0000000.244.225</t>
  </si>
  <si>
    <t>000.0701.0000000.244.226</t>
  </si>
  <si>
    <t>000.0701.0000000.244.290</t>
  </si>
  <si>
    <t>000.0701.0000000.244.310</t>
  </si>
  <si>
    <t>000.0701.0000000.244.340</t>
  </si>
  <si>
    <t>000.0701.0000000.851.290</t>
  </si>
  <si>
    <t>000.0701.0000000.852.290</t>
  </si>
  <si>
    <t>000.0702.0000000.111.211</t>
  </si>
  <si>
    <t>000.0702.0000000.112.212</t>
  </si>
  <si>
    <t>000.0702.0000000.242.221</t>
  </si>
  <si>
    <t>000.0702.0000000.242.225</t>
  </si>
  <si>
    <t>000.0702.0000000.242.226</t>
  </si>
  <si>
    <t>000.0702.0000000.242.310</t>
  </si>
  <si>
    <t>000.0702.0000000.242.340</t>
  </si>
  <si>
    <t>000.0702.0000000.243.225</t>
  </si>
  <si>
    <t>000.0702.0000000.244.221</t>
  </si>
  <si>
    <t>000.0702.0000000.244.222</t>
  </si>
  <si>
    <t>000.0702.0000000.244.223</t>
  </si>
  <si>
    <t>000.0702.0000000.244.225</t>
  </si>
  <si>
    <t>000.0702.0000000.244.226</t>
  </si>
  <si>
    <t>000.0702.0000000.244.290</t>
  </si>
  <si>
    <t>000.0702.0000000.244.310</t>
  </si>
  <si>
    <t>000.0702.0000000.851.290</t>
  </si>
  <si>
    <t>000.0702.0000000.852.290</t>
  </si>
  <si>
    <t>000.0707.0000000.244.222</t>
  </si>
  <si>
    <t>000.0707.0000000.244.226</t>
  </si>
  <si>
    <t>000.0707.0000000.244.290</t>
  </si>
  <si>
    <t>000.0707.0000000.244.310</t>
  </si>
  <si>
    <t>000.0707.0000000.244.340</t>
  </si>
  <si>
    <t>000.0707.0000000.244,221</t>
  </si>
  <si>
    <t>000.0709.0000000.112.212</t>
  </si>
  <si>
    <t>000.0709.0000000.121.211</t>
  </si>
  <si>
    <t>000.0709.0000000.121.213</t>
  </si>
  <si>
    <t>000.0709.0000000.122.212</t>
  </si>
  <si>
    <t>000.0709.0000000.242.221</t>
  </si>
  <si>
    <t>000.0709.0000000.242.225</t>
  </si>
  <si>
    <t>000.0709.0000000.242.226</t>
  </si>
  <si>
    <t>000.0709.0000000.242.310</t>
  </si>
  <si>
    <t>000.0709.0000000.242.340</t>
  </si>
  <si>
    <t>000.0709.0000000.244.222</t>
  </si>
  <si>
    <t>000.0709.0000000.244.223</t>
  </si>
  <si>
    <t>000.0709.0000000.244.225</t>
  </si>
  <si>
    <t>000.0709.0000000.244.226</t>
  </si>
  <si>
    <t>000.0709.0000000.244.290</t>
  </si>
  <si>
    <t>000.0709.0000000.244.310</t>
  </si>
  <si>
    <t>000.0709.0000000.244.340</t>
  </si>
  <si>
    <t>000.0709.0000000.851.290</t>
  </si>
  <si>
    <t>000.0709.0000000.852.290</t>
  </si>
  <si>
    <t>000.0801.0000000.111.211</t>
  </si>
  <si>
    <t>000.0801.0000000.112.212</t>
  </si>
  <si>
    <t>000.0801.0000000.242.221</t>
  </si>
  <si>
    <t>000.0801.0000000.242.225</t>
  </si>
  <si>
    <t>000.0801.0000000.242.226</t>
  </si>
  <si>
    <t>000.0801.0000000.242.310</t>
  </si>
  <si>
    <t>000.0801.0000000.242.340</t>
  </si>
  <si>
    <t>000.0801.0000000.244.221</t>
  </si>
  <si>
    <t>000.0801.0000000.244.222</t>
  </si>
  <si>
    <t>000.0801.0000000.244.223</t>
  </si>
  <si>
    <t>000.0801.0000000.244.224</t>
  </si>
  <si>
    <t>000.0801.0000000.244.225</t>
  </si>
  <si>
    <t>000.0801.0000000.244.226</t>
  </si>
  <si>
    <t>000.0801.0000000.244.290</t>
  </si>
  <si>
    <t>000.0801.0000000.244.310</t>
  </si>
  <si>
    <t>000.0801.0000000.244.340</t>
  </si>
  <si>
    <t>000.0801.0000000.852.290</t>
  </si>
  <si>
    <t>000.1001.0000000.321.263</t>
  </si>
  <si>
    <t>000.1003.0000000.121.211</t>
  </si>
  <si>
    <t>000.1003.0000000.242.221</t>
  </si>
  <si>
    <t>000.1003.0000000.242.226</t>
  </si>
  <si>
    <t>000.1003.0000000.242.310</t>
  </si>
  <si>
    <t>000.1003.0000000.242.340</t>
  </si>
  <si>
    <t>000.1003.0000000.244.221</t>
  </si>
  <si>
    <t>000.1003.0000000.244.223</t>
  </si>
  <si>
    <t>000.1003.0000000.244.226</t>
  </si>
  <si>
    <t>000.1003.0000000.244.310</t>
  </si>
  <si>
    <t>000.1003.0000000.244.340</t>
  </si>
  <si>
    <t>000.1003.0000000.313.262</t>
  </si>
  <si>
    <t>000.1006.0000000.121.211</t>
  </si>
  <si>
    <t>000.1006.0000000.122.212</t>
  </si>
  <si>
    <t>000.1006.0000000.242.221</t>
  </si>
  <si>
    <t>000.1006.0000000.242.226</t>
  </si>
  <si>
    <t>000.1006.0000000.242.310</t>
  </si>
  <si>
    <t>000.1006.0000000.242.340</t>
  </si>
  <si>
    <t>000.1006.0000000.244.221</t>
  </si>
  <si>
    <t>000.1006.0000000.244.222</t>
  </si>
  <si>
    <t>000.1006.0000000.244.223</t>
  </si>
  <si>
    <t>000.1006.0000000.244.226</t>
  </si>
  <si>
    <t>000.1006.0000000.244.310</t>
  </si>
  <si>
    <t>000.1006.0000000.244.340</t>
  </si>
  <si>
    <t>000.1101.0000000.244.222</t>
  </si>
  <si>
    <t>000.1101.0000000.244.225</t>
  </si>
  <si>
    <t>000.1101.0000000.244.226</t>
  </si>
  <si>
    <t>000.1101.0000000.244.290</t>
  </si>
  <si>
    <t>000.1101.0000000.244.310</t>
  </si>
  <si>
    <t>000.1101.0000000.244.340</t>
  </si>
  <si>
    <t>000.107.0000000.244.290</t>
  </si>
  <si>
    <t>000.0702.0000000.244.340</t>
  </si>
  <si>
    <t>000.0804.0000000.111.211</t>
  </si>
  <si>
    <t>000.0804.0000000.112.212</t>
  </si>
  <si>
    <t>000.0804.0000000.242.221</t>
  </si>
  <si>
    <t>000.0804.0000000.242.225</t>
  </si>
  <si>
    <t>000.0804.0000000.242.226</t>
  </si>
  <si>
    <t>000.0804.0000000.242.310</t>
  </si>
  <si>
    <t>000.0804.0000000.242.340</t>
  </si>
  <si>
    <t>000.0804.0000000.244.221</t>
  </si>
  <si>
    <t>000.0804.0000000.244.222</t>
  </si>
  <si>
    <t>000.0804.0000000.244.223</t>
  </si>
  <si>
    <t>000.0804.0000000.244.226</t>
  </si>
  <si>
    <t>000.0804.0000000.244.310</t>
  </si>
  <si>
    <t>000.0804.0000000.244.340</t>
  </si>
  <si>
    <t>000.0804.0000000.852.290</t>
  </si>
  <si>
    <t>121.211</t>
  </si>
  <si>
    <t>122.212</t>
  </si>
  <si>
    <t>244,222</t>
  </si>
  <si>
    <t>244,290</t>
  </si>
  <si>
    <t>242.221</t>
  </si>
  <si>
    <t>242.225</t>
  </si>
  <si>
    <t>242.226</t>
  </si>
  <si>
    <t>242.310</t>
  </si>
  <si>
    <t>242.340</t>
  </si>
  <si>
    <t>244.221</t>
  </si>
  <si>
    <t>244.222</t>
  </si>
  <si>
    <t>244.223</t>
  </si>
  <si>
    <t>244.225</t>
  </si>
  <si>
    <t>244.226</t>
  </si>
  <si>
    <t>244.310</t>
  </si>
  <si>
    <t>831.290</t>
  </si>
  <si>
    <t>852.290</t>
  </si>
  <si>
    <t>244.340</t>
  </si>
  <si>
    <t>244.290</t>
  </si>
  <si>
    <t>870.290</t>
  </si>
  <si>
    <t>244,226</t>
  </si>
  <si>
    <t>244,310</t>
  </si>
  <si>
    <t>244,340</t>
  </si>
  <si>
    <t>810.242</t>
  </si>
  <si>
    <t>810,242</t>
  </si>
  <si>
    <t>244.224</t>
  </si>
  <si>
    <t>000.0104.000000.242.225</t>
  </si>
  <si>
    <t>000.0203.00000000.121.211</t>
  </si>
  <si>
    <t>000.0203.00000000.121.213</t>
  </si>
  <si>
    <t>000.0203.00000000.242.221</t>
  </si>
  <si>
    <t>000.0203.00000000.244.222</t>
  </si>
  <si>
    <t>000.0203.00000000.244.226</t>
  </si>
  <si>
    <t>000.0203.00000000.244.340</t>
  </si>
  <si>
    <t>000.0310.0000000.244.226</t>
  </si>
  <si>
    <t>000.0310.0000000.244.340</t>
  </si>
  <si>
    <t>000.0409.0000000.244.226</t>
  </si>
  <si>
    <t>000.0409.0000000.244.340</t>
  </si>
  <si>
    <t>000.0412.0000000.244.226</t>
  </si>
  <si>
    <t>000.0501.0000000.244.222</t>
  </si>
  <si>
    <t>000.0501.0000000.244.225</t>
  </si>
  <si>
    <t>000.0501.0000000.244.226</t>
  </si>
  <si>
    <t>000.0501.0000000.810.242</t>
  </si>
  <si>
    <t>000.0501.0000000.244.310</t>
  </si>
  <si>
    <t>000.0501.0000000.244.340</t>
  </si>
  <si>
    <t>000.0502.0000000.244.222</t>
  </si>
  <si>
    <t>000.0502.0000000.244.226</t>
  </si>
  <si>
    <t>000.0502.0000000.244.310</t>
  </si>
  <si>
    <t>000.0502.0000000.244.340</t>
  </si>
  <si>
    <t>000.0502.0000000.244.290</t>
  </si>
  <si>
    <t>000.0503.0000000.244.222</t>
  </si>
  <si>
    <t>000.0503.0000000.244.223</t>
  </si>
  <si>
    <t>000.0503.0000000.244.224</t>
  </si>
  <si>
    <t>000.0503.0000000.244.225</t>
  </si>
  <si>
    <t>000.0503.0000000.244.310</t>
  </si>
  <si>
    <t>000.0503.0000000.244.340</t>
  </si>
  <si>
    <t>000.0503.0000000.810.242</t>
  </si>
  <si>
    <t>000.1105.0000000.244.222</t>
  </si>
  <si>
    <t>000.1105.0000000.244.226</t>
  </si>
  <si>
    <t>000.1105.0000000.244.310</t>
  </si>
  <si>
    <t>000.1105.0000000.244.290</t>
  </si>
  <si>
    <t>000.1105.0000000.244.340</t>
  </si>
  <si>
    <t xml:space="preserve">На л/с                                </t>
  </si>
  <si>
    <t>000140100000000251</t>
  </si>
  <si>
    <t>90А0500</t>
  </si>
  <si>
    <t>000.0503.0000000.244.226</t>
  </si>
  <si>
    <t>242,226</t>
  </si>
  <si>
    <t>122,212</t>
  </si>
  <si>
    <t>242,225</t>
  </si>
  <si>
    <t>242,340</t>
  </si>
  <si>
    <t>244,225</t>
  </si>
  <si>
    <t>242,310</t>
  </si>
  <si>
    <t>244,242</t>
  </si>
  <si>
    <t>244,223</t>
  </si>
  <si>
    <t>241,226</t>
  </si>
  <si>
    <t>000 0409 0000000 000 225</t>
  </si>
  <si>
    <t>000 0501 000000 000 242</t>
  </si>
  <si>
    <t>000 0501 000000 000 310</t>
  </si>
  <si>
    <t>000 0502 0000000 00000 222</t>
  </si>
  <si>
    <t>000 0502 0000000 00000 225</t>
  </si>
  <si>
    <t>000 0502 0000000 00000 310</t>
  </si>
  <si>
    <t>000 0503 00000000 000 222</t>
  </si>
  <si>
    <t>000 0503  0000000 000 340</t>
  </si>
  <si>
    <t>Безвозмездные</t>
  </si>
  <si>
    <t xml:space="preserve">Прочие рас </t>
  </si>
  <si>
    <t>Спорт</t>
  </si>
  <si>
    <t>000 1105 0000000 000 242</t>
  </si>
  <si>
    <t>Пожарная безопасность</t>
  </si>
  <si>
    <t>000 0503 0000000 000 223</t>
  </si>
  <si>
    <t>000 0103 0000000 000 212</t>
  </si>
  <si>
    <t>000 0309 0000000 242 225</t>
  </si>
  <si>
    <t>000 0309 0000000 242 226</t>
  </si>
  <si>
    <t>000 0309 0000000 242 340</t>
  </si>
  <si>
    <t>000 0309 0000000 244 226</t>
  </si>
  <si>
    <t>000 0310 0000000 242 225</t>
  </si>
  <si>
    <t>000 0310 0000000 242 226</t>
  </si>
  <si>
    <t>000 0310 0000000 242 310</t>
  </si>
  <si>
    <t>000 0310 0000000 242 340</t>
  </si>
  <si>
    <t>000 0310 0000000 244 225</t>
  </si>
  <si>
    <t>000 0310 0000000 244 290</t>
  </si>
  <si>
    <t>000 0409 0000000 810 242</t>
  </si>
  <si>
    <t>000 0503 0000000 244 242</t>
  </si>
  <si>
    <t>000 0503 0000000 244 223</t>
  </si>
  <si>
    <t>000.0111.000000.870.290</t>
  </si>
  <si>
    <r>
      <t>Дотации бюджетам поселений на выравнивание уровня бюджетной обеспеченности поселений(</t>
    </r>
    <r>
      <rPr>
        <b/>
        <sz val="8"/>
        <rFont val="Arial Cyr"/>
        <charset val="204"/>
      </rPr>
      <t>район)</t>
    </r>
  </si>
  <si>
    <t>000.0203.00000000.122.212</t>
  </si>
  <si>
    <t>000.0203.00000000.244.223</t>
  </si>
  <si>
    <t>000.0203.00000000.244.224</t>
  </si>
  <si>
    <t>0000.0309.0000000.242.225</t>
  </si>
  <si>
    <t>0000.0309.0000000.242.226</t>
  </si>
  <si>
    <t>0000.0309.0000000.242.340</t>
  </si>
  <si>
    <t>0000.0309.0000000.244.225</t>
  </si>
  <si>
    <t>000.0310.0000000.242.225</t>
  </si>
  <si>
    <t>000.0310.0000000.242.226</t>
  </si>
  <si>
    <t>000.0310.0000000.242.310</t>
  </si>
  <si>
    <t>000.0310.0000000.242.340</t>
  </si>
  <si>
    <t>000.0310.0000000.244.225</t>
  </si>
  <si>
    <t>000.0310.0000000.244.290</t>
  </si>
  <si>
    <t>000.0310.0000000.244.310</t>
  </si>
  <si>
    <t>00003000000000000290</t>
  </si>
  <si>
    <t>000.0501.0000000.244.223</t>
  </si>
  <si>
    <t>000.0502.0000000.241.226</t>
  </si>
  <si>
    <t>000.1105.0000000.810.242</t>
  </si>
  <si>
    <t>000.0104.000000.831.290</t>
  </si>
  <si>
    <t>000.0503.0000000.244.242</t>
  </si>
  <si>
    <t>540,251</t>
  </si>
  <si>
    <t>Просие услуги</t>
  </si>
  <si>
    <t>Безвлзмездные</t>
  </si>
  <si>
    <t xml:space="preserve">000 0501 0000000 000 241 </t>
  </si>
  <si>
    <t>000 0501 0000000 000 223</t>
  </si>
  <si>
    <t>000 0501 0000000 000 290</t>
  </si>
  <si>
    <t>000 0502 0000000 000242</t>
  </si>
  <si>
    <t>Межбюджетные трансферты на финансовую поддержку городских поселений,осуществляющих эффективное управление бюджетными средствами из бюджета района</t>
  </si>
  <si>
    <t>Субсидия оздоравление детям летние лагеря)</t>
  </si>
  <si>
    <t>000.0106.000000.242.225</t>
  </si>
  <si>
    <t>831,290</t>
  </si>
  <si>
    <t>241</t>
  </si>
  <si>
    <t>000.0501.0000000.831.290</t>
  </si>
  <si>
    <t>00003000000000000213</t>
  </si>
  <si>
    <t>000.0707.0000000.244.225</t>
  </si>
  <si>
    <t>000.0804.0000000.244.225</t>
  </si>
  <si>
    <t>000 1 11 05013 13 0000 120</t>
  </si>
  <si>
    <t>000 0501 0000000 000290</t>
  </si>
  <si>
    <t>Субсидия на повышение  эффективности поселениям</t>
  </si>
  <si>
    <t>000.0501.0000000.244.290</t>
  </si>
  <si>
    <t>000.0103.000000.852.290</t>
  </si>
  <si>
    <t>Увеличение стоимости мз</t>
  </si>
  <si>
    <t>\</t>
  </si>
  <si>
    <t xml:space="preserve"> 00020202150050000120551660</t>
  </si>
  <si>
    <t>463,530</t>
  </si>
  <si>
    <t>452.530</t>
  </si>
  <si>
    <t>000.0502.0000000.452.530</t>
  </si>
  <si>
    <t xml:space="preserve">Мероприятия государственной программы Российской Федерации «Доступная среда» на 2011-2015 годы
</t>
  </si>
  <si>
    <t>Субсидии на создание в общеобразовательных организациях, расположенных в сельской местности, условий для занятий физической культурой и спортом
 (000 2 02 02215 00 0000 151)</t>
  </si>
  <si>
    <t>000 2 02 022150 05 0000 151</t>
  </si>
  <si>
    <t>000 2 02 0205105 0000 151</t>
  </si>
  <si>
    <t>000.0502.0000000.810.242</t>
  </si>
  <si>
    <t>000.0501.0000000.463.530</t>
  </si>
  <si>
    <t>00005000000000000530</t>
  </si>
  <si>
    <t>000 1403 0000000 000 000</t>
  </si>
  <si>
    <t xml:space="preserve">0001403 0000000 000 251 </t>
  </si>
  <si>
    <t>000 0502 0000000 452 530</t>
  </si>
  <si>
    <t>Уставной капитал</t>
  </si>
  <si>
    <t>000 1 06 06013 13 0000 110</t>
  </si>
  <si>
    <t>000 1 17 05050 13 0000 180</t>
  </si>
  <si>
    <t>Прочие неналоговые доходы</t>
  </si>
  <si>
    <t>000 2 02 02999 13 0000 151</t>
  </si>
  <si>
    <t>000 2 02 03024 13 0000 151</t>
  </si>
  <si>
    <t>000 2 02 01001 13 0000 151</t>
  </si>
  <si>
    <t xml:space="preserve">000 2 02 03024 13 0000 151 </t>
  </si>
  <si>
    <t>000 2 02 03015 13 0000 151</t>
  </si>
  <si>
    <t xml:space="preserve">000 2 02 04999 13 0000 151 </t>
  </si>
  <si>
    <t>000 2 02 04999 13 0000 151</t>
  </si>
  <si>
    <t>00020204025050000120551660</t>
  </si>
  <si>
    <t>000 01 03 01 00 05 0000 710</t>
  </si>
  <si>
    <t>000 01 03 01 00 05 0000 810</t>
  </si>
  <si>
    <t>000 1 09 04053 13 0000 110</t>
  </si>
  <si>
    <t xml:space="preserve">Собственные                          </t>
  </si>
  <si>
    <t xml:space="preserve">Акцизы 2015г                        </t>
  </si>
  <si>
    <t>Начальник  финансового управления</t>
  </si>
  <si>
    <t>Халейка Н.С.</t>
  </si>
  <si>
    <t>000.0102.7030106.000.000</t>
  </si>
  <si>
    <t>000.0102.7030106.121.211</t>
  </si>
  <si>
    <t>000.0102.7030106.121.213</t>
  </si>
  <si>
    <t>000.0103.0020400.852.290</t>
  </si>
  <si>
    <t>000.0104.5226500.242.340</t>
  </si>
  <si>
    <t>Прочие  расходы</t>
  </si>
  <si>
    <t>000.0104.7030106.000.000</t>
  </si>
  <si>
    <t>000.0104.7030106.121.211</t>
  </si>
  <si>
    <t>000.0104.7030106.121.213</t>
  </si>
  <si>
    <t>000.0104.7020102.000.000</t>
  </si>
  <si>
    <t>000.0104.7020102.121.211</t>
  </si>
  <si>
    <t>000.0104.7020102.244.223</t>
  </si>
  <si>
    <t>000.0104.0020401.000.000</t>
  </si>
  <si>
    <t>000.0104.0020401.121.211</t>
  </si>
  <si>
    <t>000.0104.0020401.121.213</t>
  </si>
  <si>
    <t>000.0104.0020401.242.221</t>
  </si>
  <si>
    <t>000.0104.0020401.242.340</t>
  </si>
  <si>
    <t>000.0104.0020402.121.211</t>
  </si>
  <si>
    <t>000.0104.0020402.121.213</t>
  </si>
  <si>
    <t>000.0104.0020402.242.221</t>
  </si>
  <si>
    <t>000.0104.0020402.000.000</t>
  </si>
  <si>
    <t>000.0104.0020403.000.000</t>
  </si>
  <si>
    <t>000.0104.0020403.121.211</t>
  </si>
  <si>
    <t>000.0104.0020403.121.213</t>
  </si>
  <si>
    <t>000.0104.0020403.242.221</t>
  </si>
  <si>
    <t>000.0104.0020403.242.340</t>
  </si>
  <si>
    <t>000.0104.6110104.000.000</t>
  </si>
  <si>
    <t>000.0104.6110104.244.340</t>
  </si>
  <si>
    <t>Исполнение отдельных полномочий городских поселений по организации в границах поселения электро-
 тепло-, газо- и водоснабжения населения, водоотведения, снабжения населения топливом</t>
  </si>
  <si>
    <t>Исполнение отдельных полномочий городсих поселений по организации деятельности в сфере закупок товаров, работ, услуг для обеспечения муниципальных нужд</t>
  </si>
  <si>
    <t>Исполнение отдельных полномочий городских поселений по организации работы по утверждению генеральных планов поселения, правил землепользования и застройки</t>
  </si>
  <si>
    <t>000.0104.6170302.000.000</t>
  </si>
  <si>
    <t>Приобретение и доставка топлива и горюче-смазочных материалов, необходимых для обеспечения деятельности муниципальных учреждений и органов МСУ муниципальных образований Иркутской области</t>
  </si>
  <si>
    <t>000.0106.7030106.000.000</t>
  </si>
  <si>
    <t>000.0106.7020102.000.000</t>
  </si>
  <si>
    <t>000.0106.7020102.121.211</t>
  </si>
  <si>
    <t>000.0106.7020102.121.213</t>
  </si>
  <si>
    <t>000.0106.0020404.000.000</t>
  </si>
  <si>
    <t>000.0106.0020405.000.000</t>
  </si>
  <si>
    <t>000.0106.0020404.121.211</t>
  </si>
  <si>
    <t>000.0106.0020404.121.213</t>
  </si>
  <si>
    <t>000.0106.0020404.242.221.</t>
  </si>
  <si>
    <t>000.0106.0020404.242.226</t>
  </si>
  <si>
    <t>000.0106.0020404.242.310</t>
  </si>
  <si>
    <t>000.0106.0020404.242.340</t>
  </si>
  <si>
    <t>000.0106.0020404.244.226</t>
  </si>
  <si>
    <t>000.0106.0020404.244.340</t>
  </si>
  <si>
    <t>000.0106.0020405.121.213</t>
  </si>
  <si>
    <t>000.0106.0020405.242.221</t>
  </si>
  <si>
    <t>Центральный аппарат</t>
  </si>
  <si>
    <t>Исполнение отдельных полномочий городских поселений по исполнению и контролю за исполнением бюджетов поселений</t>
  </si>
  <si>
    <t>Исполнение отдельных полномочий городских поселений по осуществлению внешнего финансового контроля</t>
  </si>
  <si>
    <t>000.0106.8010101.000.000</t>
  </si>
  <si>
    <t>000.0106.8010101.121.211</t>
  </si>
  <si>
    <t>000.0106.8010101.121.213</t>
  </si>
  <si>
    <t>000.0106.8010101.122.212</t>
  </si>
  <si>
    <t>000.0106.8010101.242.221</t>
  </si>
  <si>
    <t>000.0106.8010101.242.225</t>
  </si>
  <si>
    <t>000.0106.8010101.242.226</t>
  </si>
  <si>
    <t>000.0106.8010101.242.310</t>
  </si>
  <si>
    <t>000.0106.8010101.242.340</t>
  </si>
  <si>
    <t>000.0106.8010101.244.222</t>
  </si>
  <si>
    <t>000.0106.8010101.244.223</t>
  </si>
  <si>
    <t>000.0106.8010101.244.225</t>
  </si>
  <si>
    <t>000.0106.8010101.244.226</t>
  </si>
  <si>
    <t>000.0106.8010101.244.290</t>
  </si>
  <si>
    <t>000.0106.8010101.244.310</t>
  </si>
  <si>
    <t>000.0106.8010101.344.340</t>
  </si>
  <si>
    <t>000.0106.8010101.852.290</t>
  </si>
  <si>
    <t>Муниципальная программа Мамско-Чуйского района "Повышение эффективности управления муниципальными финансами МО Мамско-Чуйского района на 2014-2018 годы" подпрограмма "Организация составления и исполнения местного бюджета, управление муниципальными финансами" основное мероприятие "Обеспечение эффективного управления муниципальными финансами, формирование и организация исполнения местного бюджета" осуществление функций органами местного самоуправления в сфере муниципальных финансов</t>
  </si>
  <si>
    <t>Коммунаоьные услуги</t>
  </si>
  <si>
    <t>Прчие расходы</t>
  </si>
  <si>
    <t>000.0106.6110104.000.000</t>
  </si>
  <si>
    <t>000.0106.6110104.244.340</t>
  </si>
  <si>
    <t>000.0107.0200003.244.290</t>
  </si>
  <si>
    <t>000.0113.0020400.242.226</t>
  </si>
  <si>
    <t>000.0112.0020400.244.222</t>
  </si>
  <si>
    <t>000.0113.0020400.244.223</t>
  </si>
  <si>
    <t>000.0113.0029900.244.221</t>
  </si>
  <si>
    <t>000.0113.0029900.244.223</t>
  </si>
  <si>
    <t>000.0113.7020102.000.000</t>
  </si>
  <si>
    <t>000.0113.7020102.111.211</t>
  </si>
  <si>
    <t>000.0113.7020102.121.211</t>
  </si>
  <si>
    <t>000.0113.5510300.244,340</t>
  </si>
  <si>
    <t>000.0113.7030106.000.000</t>
  </si>
  <si>
    <t>000.0113.7030106.111.211</t>
  </si>
  <si>
    <t>000.0113.7030106.111.213</t>
  </si>
  <si>
    <t>000.0113.7030106.121.211</t>
  </si>
  <si>
    <t>000.0113.905А500.000.000</t>
  </si>
  <si>
    <t>000.0113.905А500.121.211</t>
  </si>
  <si>
    <t>000.0113.905А500.121.213</t>
  </si>
  <si>
    <t>000.0113.905А500.242.221</t>
  </si>
  <si>
    <t>000.0113.905А500.242.226</t>
  </si>
  <si>
    <t>000.0113.905А500.242.310</t>
  </si>
  <si>
    <t>000.0113.905А500.242.340</t>
  </si>
  <si>
    <t>000.0113.905А500.244.221</t>
  </si>
  <si>
    <t>000.0113.905А500.244.223</t>
  </si>
  <si>
    <t>000.0113.905А500.244.310</t>
  </si>
  <si>
    <t>000.0113.905А500.244.340</t>
  </si>
  <si>
    <t>000.0113.6110104.000.000</t>
  </si>
  <si>
    <t>000.0113.6110104.244.340</t>
  </si>
  <si>
    <t>субсидия программа доступная среда</t>
  </si>
  <si>
    <t>Взаимозачет</t>
  </si>
  <si>
    <t>Витимский</t>
  </si>
  <si>
    <t>Луговка</t>
  </si>
  <si>
    <t>Согдиондон</t>
  </si>
  <si>
    <t>Горно-Чуя</t>
  </si>
  <si>
    <t>Субсидия повышение  эффективности</t>
  </si>
  <si>
    <t>00020202051050000120551660</t>
  </si>
  <si>
    <t xml:space="preserve">Итого:                            </t>
  </si>
  <si>
    <t xml:space="preserve">Целевые               (ВУС)       </t>
  </si>
  <si>
    <t xml:space="preserve">Акцизы 2014г                </t>
  </si>
  <si>
    <t xml:space="preserve">Акцизы 2015г.      </t>
  </si>
  <si>
    <t xml:space="preserve">Собственные                </t>
  </si>
  <si>
    <t xml:space="preserve">На л/с                              </t>
  </si>
  <si>
    <t xml:space="preserve">Итого:                          </t>
  </si>
  <si>
    <t xml:space="preserve">Акцизы 2015г.        </t>
  </si>
  <si>
    <t xml:space="preserve">Акцизы 2014г.               </t>
  </si>
  <si>
    <t xml:space="preserve">Целевые                          (ВУС) </t>
  </si>
  <si>
    <t>Субсидии на повыш.эф.</t>
  </si>
  <si>
    <t xml:space="preserve">Итого                     </t>
  </si>
  <si>
    <t xml:space="preserve">Собственные                  </t>
  </si>
  <si>
    <t xml:space="preserve">Акцизы 2015г              </t>
  </si>
  <si>
    <t>Целевые                           (ВУС)</t>
  </si>
  <si>
    <t>Народн.иниц.</t>
  </si>
  <si>
    <t xml:space="preserve">Целевые                            ВУС   </t>
  </si>
  <si>
    <t xml:space="preserve">Акцизы 2014г                         </t>
  </si>
  <si>
    <t xml:space="preserve">Итого:                   </t>
  </si>
  <si>
    <t>000 202 01001 10 0000 151</t>
  </si>
  <si>
    <t>000 1 06 06023 100000 110</t>
  </si>
  <si>
    <t>000 106 0601310 0000 110</t>
  </si>
  <si>
    <t>000 050200000000 000 530</t>
  </si>
  <si>
    <t>000 0502 0000000 000 223</t>
  </si>
  <si>
    <t>Взносы в уставной капитал</t>
  </si>
  <si>
    <t>000 0502 0000000 000000 530</t>
  </si>
  <si>
    <t>Собственные</t>
  </si>
  <si>
    <t>000 202 0499913 0000 151</t>
  </si>
  <si>
    <t>№ строки</t>
  </si>
  <si>
    <t>1</t>
  </si>
  <si>
    <t>1000</t>
  </si>
  <si>
    <t>I. ДОХОДЫ БЮДЖЕТА ВСЕГО</t>
  </si>
  <si>
    <t>1100</t>
  </si>
  <si>
    <t>1.1. НАЛОГОВЫЕ И НЕНАЛОГОВЫЕ ДОХОДЫ</t>
  </si>
  <si>
    <t>1110</t>
  </si>
  <si>
    <t>НАЛОГОВЫЕ ДОХОДЫ</t>
  </si>
  <si>
    <t>1111</t>
  </si>
  <si>
    <t xml:space="preserve"> - налог на доходы физических лиц </t>
  </si>
  <si>
    <t>1112</t>
  </si>
  <si>
    <t xml:space="preserve"> - ЕНВД, ЕСХН, налог, взимаемый в связи с применением патентной системы налогообложения</t>
  </si>
  <si>
    <t>1113</t>
  </si>
  <si>
    <t xml:space="preserve"> - налог на имущество физических лиц </t>
  </si>
  <si>
    <t>1114</t>
  </si>
  <si>
    <t xml:space="preserve"> - земельный налог </t>
  </si>
  <si>
    <t>1115</t>
  </si>
  <si>
    <t xml:space="preserve"> - государственная пошлина</t>
  </si>
  <si>
    <t>1116</t>
  </si>
  <si>
    <t xml:space="preserve"> - акцизы на нефтепродукты</t>
  </si>
  <si>
    <t>1117</t>
  </si>
  <si>
    <t xml:space="preserve"> - прочие налоговые доходы </t>
  </si>
  <si>
    <t>1120</t>
  </si>
  <si>
    <t>НЕНАЛОГОВЫЕ ДОХОДЫ</t>
  </si>
  <si>
    <t>1121</t>
  </si>
  <si>
    <t xml:space="preserve"> - доходы, получаемые в виде арендной платы за земельные участки </t>
  </si>
  <si>
    <t>1122</t>
  </si>
  <si>
    <t xml:space="preserve"> - доходы от сдачи в аренду имущества, находящегося в оперативном управлении органов местного самоуправления </t>
  </si>
  <si>
    <t>1123</t>
  </si>
  <si>
    <t xml:space="preserve"> - плата за негативное воздействие на окружающую среду </t>
  </si>
  <si>
    <t>1124</t>
  </si>
  <si>
    <t xml:space="preserve"> - доходы от оказания платных услуг или компенсации затрат государства, в т.ч.: </t>
  </si>
  <si>
    <t>1124.1</t>
  </si>
  <si>
    <t xml:space="preserve">                    родительская плата</t>
  </si>
  <si>
    <t>1125</t>
  </si>
  <si>
    <t xml:space="preserve"> - доходы от продажи материальных и нематериальных активов</t>
  </si>
  <si>
    <t>1126</t>
  </si>
  <si>
    <t xml:space="preserve"> - штрафы, санкции, возмещение ущерба</t>
  </si>
  <si>
    <t>1127</t>
  </si>
  <si>
    <t xml:space="preserve"> - прочие неналоговые доходы </t>
  </si>
  <si>
    <t>1200</t>
  </si>
  <si>
    <t>1.2. БЕЗВОЗМЕЗДНЫЕ ПОСТУПЛЕНИЯ ВСЕГО</t>
  </si>
  <si>
    <t>1210</t>
  </si>
  <si>
    <t>БЕЗВОЗМЕЗДНЫЕ ПОСТУПЛЕНИЯ ИЗ ОБЛАСТНОГО БЮДЖЕТА, в т.ч.:</t>
  </si>
  <si>
    <t>1211</t>
  </si>
  <si>
    <t xml:space="preserve"> - дотации на выравнивание бюджетной обеспеченности </t>
  </si>
  <si>
    <t>1212</t>
  </si>
  <si>
    <t xml:space="preserve"> - дотация на сбалансированность</t>
  </si>
  <si>
    <t>1213</t>
  </si>
  <si>
    <t xml:space="preserve"> - субсидия за эффективность</t>
  </si>
  <si>
    <t>1214</t>
  </si>
  <si>
    <t xml:space="preserve"> - субсидии на выплату заработной платы</t>
  </si>
  <si>
    <t>1215</t>
  </si>
  <si>
    <t xml:space="preserve"> - субсидии на ГСМ</t>
  </si>
  <si>
    <t>1216</t>
  </si>
  <si>
    <t xml:space="preserve"> - субсидия на выравнивание</t>
  </si>
  <si>
    <t>1217</t>
  </si>
  <si>
    <t xml:space="preserve"> - субвенции</t>
  </si>
  <si>
    <t>1218</t>
  </si>
  <si>
    <t xml:space="preserve"> - другие МБТ</t>
  </si>
  <si>
    <t>1220</t>
  </si>
  <si>
    <t>БЕЗВОЗМЕЗДНЫЕ ПОСТУПЛЕНИЯ ИЗ БЮДЖЕТА РАЙОНА/ПОСЕЛЕНИЯ , в т.ч.:</t>
  </si>
  <si>
    <t>1221</t>
  </si>
  <si>
    <t xml:space="preserve"> - дотации (выравнивание, сбалансированность)</t>
  </si>
  <si>
    <t>1222</t>
  </si>
  <si>
    <t xml:space="preserve"> - МБТ на оплату соглашений о передаче полномочий, в т.ч.:</t>
  </si>
  <si>
    <t>1222.1</t>
  </si>
  <si>
    <t xml:space="preserve">   за счет субсидии из областного бюджета на заработную плату глав, мун. служащим и основному персоналу учреждений культуры</t>
  </si>
  <si>
    <t>1223</t>
  </si>
  <si>
    <t xml:space="preserve"> - иные перечисления из района/поселения</t>
  </si>
  <si>
    <t>1230</t>
  </si>
  <si>
    <t>ИНЫЕ БЕЗВОЗМЕЗДНЫЕ ПОСТУПЛЕНИЯ</t>
  </si>
  <si>
    <t>2000</t>
  </si>
  <si>
    <t>II. РАСХОДЫ БЮДЖЕТА ВСЕГО</t>
  </si>
  <si>
    <t>2100</t>
  </si>
  <si>
    <t>РАСХОДЫ НА СОДЕРЖАНИЕ ОРГАНОВ МЕСТНОГО САМОУПРАВЛЕНИЯ* (далее - ОМСУ)</t>
  </si>
  <si>
    <t>2110</t>
  </si>
  <si>
    <t>ЗАРАБОТНАЯ ПЛАТА, КОСГУ 211 (Приложение 1)</t>
  </si>
  <si>
    <t>2120</t>
  </si>
  <si>
    <t>НАЧИСЛЕНИЯ НА ВЫПЛАТЫ ПО ОПЛАТЕ ТРУДА, КОСГУ 213</t>
  </si>
  <si>
    <t>2130</t>
  </si>
  <si>
    <t xml:space="preserve">КОММУНАЛЬНЫЕ УСЛУГИ, КОСГУ 223 </t>
  </si>
  <si>
    <t>2140</t>
  </si>
  <si>
    <t xml:space="preserve">СОЦИАЛЬНОЕ ОБЕСПЕЧЕНИЕ, КОСГУ 260 ВСЕГО, В Т.Ч.: </t>
  </si>
  <si>
    <t>2140.1</t>
  </si>
  <si>
    <t xml:space="preserve"> - выплата пенсий по гос. пенсионному обеспечению</t>
  </si>
  <si>
    <t>2140.2</t>
  </si>
  <si>
    <t xml:space="preserve"> - иные выплаты</t>
  </si>
  <si>
    <t>2150</t>
  </si>
  <si>
    <t>УСЛУГИ СВЯЗИ, КОСГУ 221</t>
  </si>
  <si>
    <t>2160</t>
  </si>
  <si>
    <t>ИНЫЕ РАСХОДЫ, В Т.Ч.:</t>
  </si>
  <si>
    <t>2160.1</t>
  </si>
  <si>
    <t xml:space="preserve"> - КОСГУ 212</t>
  </si>
  <si>
    <t>2160.2</t>
  </si>
  <si>
    <t xml:space="preserve"> - КОСГУ 222</t>
  </si>
  <si>
    <t>2160.3</t>
  </si>
  <si>
    <t xml:space="preserve"> - КОСГУ 224</t>
  </si>
  <si>
    <t>2160.4</t>
  </si>
  <si>
    <t xml:space="preserve"> - КОСГУ 340 всего, в т.ч.:</t>
  </si>
  <si>
    <t>2160.41</t>
  </si>
  <si>
    <t xml:space="preserve">         приобретение топлива для обеспечения деятельности ОМСУ (за исключением ГСМ)</t>
  </si>
  <si>
    <t>2160.5</t>
  </si>
  <si>
    <t xml:space="preserve"> - КОСГУ 225</t>
  </si>
  <si>
    <t>2160.6</t>
  </si>
  <si>
    <t xml:space="preserve"> - КОСГУ 226</t>
  </si>
  <si>
    <t>2160.7</t>
  </si>
  <si>
    <t xml:space="preserve"> - КОСГУ 241</t>
  </si>
  <si>
    <t>2160.8</t>
  </si>
  <si>
    <t xml:space="preserve"> - КОСГУ 242</t>
  </si>
  <si>
    <t>2160.9</t>
  </si>
  <si>
    <t xml:space="preserve"> - КОСГУ 290 (за искл.выборов)</t>
  </si>
  <si>
    <t>2160.10</t>
  </si>
  <si>
    <t xml:space="preserve"> - КОСГУ 310</t>
  </si>
  <si>
    <t>2160.11</t>
  </si>
  <si>
    <t xml:space="preserve"> - другие расходы</t>
  </si>
  <si>
    <t>2500</t>
  </si>
  <si>
    <t>РАСХОДЫ, НЕ ОТНОСЯЩИЕСЯ К РАСХОДАМ НА СОДЕРЖАНИЕ ОМСУ</t>
  </si>
  <si>
    <t>2510</t>
  </si>
  <si>
    <t>ЗАРАБОТНАЯ ПЛАТА, КОСГУ 211 ВСЕГО, в т.ч.:</t>
  </si>
  <si>
    <t>2510.1</t>
  </si>
  <si>
    <t xml:space="preserve"> - педагогические работники организаций доп. образования </t>
  </si>
  <si>
    <t>2510.2</t>
  </si>
  <si>
    <t xml:space="preserve"> - основной персонал учреждений культуры</t>
  </si>
  <si>
    <t>2510.3</t>
  </si>
  <si>
    <t xml:space="preserve"> - иные категории работников</t>
  </si>
  <si>
    <t>2520</t>
  </si>
  <si>
    <t>2530</t>
  </si>
  <si>
    <t>2540</t>
  </si>
  <si>
    <t xml:space="preserve">БЕЗВОЗМЕЗДНЫЕ ПЕРЕЧИСЛЕНИЯ ГОС. И МУНИЦ. ОРГАНИЗАЦИЯМ, КОСГУ 241, В Т.Ч.: </t>
  </si>
  <si>
    <t>2540.1</t>
  </si>
  <si>
    <t xml:space="preserve"> - заработная плата без начислений на нее, в т.ч.:</t>
  </si>
  <si>
    <t>2540.11</t>
  </si>
  <si>
    <t xml:space="preserve">           педагогические работники организаций доп. образования</t>
  </si>
  <si>
    <t>2540.12</t>
  </si>
  <si>
    <t xml:space="preserve">           основной персонал учреждений культуры</t>
  </si>
  <si>
    <t>2540.13</t>
  </si>
  <si>
    <t xml:space="preserve">           иные категории работников</t>
  </si>
  <si>
    <t>2540.2</t>
  </si>
  <si>
    <t xml:space="preserve"> - начисления на выплаты по оплате труда</t>
  </si>
  <si>
    <t>2540.3</t>
  </si>
  <si>
    <t xml:space="preserve"> - коммунальные услуги</t>
  </si>
  <si>
    <t>2550</t>
  </si>
  <si>
    <t>СОЦИАЛЬНОЕ ОБЕСПЕЧЕНИЕ, КОСГУ 260</t>
  </si>
  <si>
    <t>2560</t>
  </si>
  <si>
    <t xml:space="preserve">ОБСЛУЖИВАНИЕ МУНИЦИПАЛЬНОГО ДОЛГА, КОСГУ 231 </t>
  </si>
  <si>
    <t>2570</t>
  </si>
  <si>
    <t>2580</t>
  </si>
  <si>
    <t>2580.1</t>
  </si>
  <si>
    <t>2580.2</t>
  </si>
  <si>
    <t>2580.3</t>
  </si>
  <si>
    <t>2580.4</t>
  </si>
  <si>
    <t xml:space="preserve"> - КОСГУ 340 всего, в т.ч.: </t>
  </si>
  <si>
    <t>2580.41</t>
  </si>
  <si>
    <t xml:space="preserve"> - приобретение топлива для обеспечения деятельности муниципальных учреждений (за исключением ГСМ)</t>
  </si>
  <si>
    <t>2580.42</t>
  </si>
  <si>
    <t xml:space="preserve"> - приобретение ГСМ для подвоза учащихся в общеобразовательных учреждениях</t>
  </si>
  <si>
    <t>2580.5</t>
  </si>
  <si>
    <t xml:space="preserve"> - КОСГУ 225 всего, в т.ч.: </t>
  </si>
  <si>
    <t>2580.51</t>
  </si>
  <si>
    <t xml:space="preserve"> - оплата организациям и(или) физ.лицам за услуги учреждениям культуры, которые ранее выполнялись кочегарами, сторожами, уборщиками помещений (аутсорсинг, ГПХ)</t>
  </si>
  <si>
    <t>2580.6</t>
  </si>
  <si>
    <t xml:space="preserve"> - КОСГУ 226  всего, в т.ч.:</t>
  </si>
  <si>
    <t>2580.61</t>
  </si>
  <si>
    <t>2580.62</t>
  </si>
  <si>
    <t xml:space="preserve"> - разработка и экспертиза ПСД</t>
  </si>
  <si>
    <t>2580.63</t>
  </si>
  <si>
    <t xml:space="preserve"> - медицинские услуги</t>
  </si>
  <si>
    <t>2580.7</t>
  </si>
  <si>
    <t xml:space="preserve"> - КОСГУ 241, в т.ч.: </t>
  </si>
  <si>
    <t>2580.71</t>
  </si>
  <si>
    <t>2580.72</t>
  </si>
  <si>
    <t>2580.73</t>
  </si>
  <si>
    <t>2580.74</t>
  </si>
  <si>
    <t>2580.8</t>
  </si>
  <si>
    <t>2580.9</t>
  </si>
  <si>
    <t xml:space="preserve"> - КОСГУ 250 всего, в т.ч.:</t>
  </si>
  <si>
    <t>2580.91</t>
  </si>
  <si>
    <t xml:space="preserve"> - предоставление поселениям дотации на выравнивание из РФФП</t>
  </si>
  <si>
    <t>2580.92</t>
  </si>
  <si>
    <t xml:space="preserve"> - обеспечение передачи полномочий бюджетам другого уровня</t>
  </si>
  <si>
    <t>2580.93</t>
  </si>
  <si>
    <t>2580.10</t>
  </si>
  <si>
    <t xml:space="preserve"> - КОСГУ 290 всего, в т.ч.:</t>
  </si>
  <si>
    <t>2580.101</t>
  </si>
  <si>
    <t xml:space="preserve"> - выборы главы (мэра), депутатов Думы</t>
  </si>
  <si>
    <t>2580.11</t>
  </si>
  <si>
    <t>2580.12</t>
  </si>
  <si>
    <t>Другие расходы</t>
  </si>
  <si>
    <t>3000</t>
  </si>
  <si>
    <t>ПРОФИЦИТ (+)/ДЕФИЦИТ ( - )</t>
  </si>
  <si>
    <t>4000</t>
  </si>
  <si>
    <t>III. ИСТОЧНИКИ ФИНАНСИРОВАНИЯ ДЕФИЦИТА БЮДЖЕТА</t>
  </si>
  <si>
    <t>4100</t>
  </si>
  <si>
    <t>3.1. БЮДЖЕТНЫЕ КРЕДИТЫ, ПОЛУЧЕННЫЕ ОТ ДРУГИХ БЮДЖЕТОВ:</t>
  </si>
  <si>
    <t>4110</t>
  </si>
  <si>
    <t xml:space="preserve"> - получение бюджетных кредитов </t>
  </si>
  <si>
    <t>4120</t>
  </si>
  <si>
    <t xml:space="preserve"> - погашение бюджетных кредитов </t>
  </si>
  <si>
    <t>4200</t>
  </si>
  <si>
    <t>3.2. КРЕДИТЫ, ПОЛУЧЕННЫЕ ОТ КРЕДИТНЫХ ОРГАНИЗАЦИЙ:</t>
  </si>
  <si>
    <t>4210</t>
  </si>
  <si>
    <t xml:space="preserve"> - получение кредитов от кредитных организаций </t>
  </si>
  <si>
    <t>4220</t>
  </si>
  <si>
    <t xml:space="preserve"> - погашение кредитов от кредитных организаций </t>
  </si>
  <si>
    <t>4300</t>
  </si>
  <si>
    <t>3.3. ИНЫЕ ИСТОЧНИКИ:</t>
  </si>
  <si>
    <t>4310</t>
  </si>
  <si>
    <t xml:space="preserve"> - получение </t>
  </si>
  <si>
    <t>4320</t>
  </si>
  <si>
    <t xml:space="preserve"> - погашение </t>
  </si>
  <si>
    <t>4400</t>
  </si>
  <si>
    <t>3.4. КРЕДИТЫ ДРУГИМ БЮДЖЕТАМ:</t>
  </si>
  <si>
    <t>4410</t>
  </si>
  <si>
    <t xml:space="preserve"> - предоставление </t>
  </si>
  <si>
    <t>4420</t>
  </si>
  <si>
    <t xml:space="preserve"> - возврат </t>
  </si>
  <si>
    <t>4500</t>
  </si>
  <si>
    <t>3.5. ИЗМЕНЕНИЕ ОСТАТКОВ БЮДЖЕТНЫХ СРЕДСТВ</t>
  </si>
  <si>
    <t>5000</t>
  </si>
  <si>
    <t>ОСТАТКИ СРЕДСТВ БЮДЖЕТОВ</t>
  </si>
  <si>
    <t>5100</t>
  </si>
  <si>
    <t xml:space="preserve"> - остатки целевых средств всего, в т.ч.:</t>
  </si>
  <si>
    <t>5110</t>
  </si>
  <si>
    <t xml:space="preserve">     субсидии: за эффективность, на заработную плату, на ГСМ, на выравнивание</t>
  </si>
  <si>
    <t>5120</t>
  </si>
  <si>
    <t xml:space="preserve">     акцизы на нефтепродукты</t>
  </si>
  <si>
    <t>5200</t>
  </si>
  <si>
    <t xml:space="preserve"> - остатки нецелевых средств </t>
  </si>
  <si>
    <t>5300</t>
  </si>
  <si>
    <t xml:space="preserve"> - остатки средств от юр. и физ. лиц</t>
  </si>
  <si>
    <t>6000</t>
  </si>
  <si>
    <t>IV. ПРОСРОЧЕННАЯ КРЕДИТОРСКАЯ ЗАДОЛЖЕННОСТЬ МУНИЦИПАЛЬНЫХ УЧРЕЖДЕНИЙ ВСЕХ ТИПОВ, в т.ч.:</t>
  </si>
  <si>
    <t>6100</t>
  </si>
  <si>
    <t>6200</t>
  </si>
  <si>
    <t xml:space="preserve"> - оплата коммунальных услуг</t>
  </si>
  <si>
    <t>7000</t>
  </si>
  <si>
    <t>V. НЕДОИМКА ПО НАЛОГАМ, ПОДЛЕЖАЩИМ К ЗАЧИСЛЕНИЮ В МЕСТНЫЙ БЮДЖЕТ</t>
  </si>
  <si>
    <t>Согдиондонское</t>
  </si>
  <si>
    <t>000.0502.0000000.831.290</t>
  </si>
  <si>
    <t xml:space="preserve">000 2 02 04999 130000 151 </t>
  </si>
  <si>
    <t>Субсидия из областного бюджета (административные комиссии)</t>
  </si>
  <si>
    <t>000 2 02 02999 130000 151</t>
  </si>
  <si>
    <t xml:space="preserve"> 00020203024130000120551660</t>
  </si>
  <si>
    <t>000.0102.000000.129.213</t>
  </si>
  <si>
    <t>000.0104.000000.129.213</t>
  </si>
  <si>
    <t>00001050000000244221</t>
  </si>
  <si>
    <t>00001050000000244226</t>
  </si>
  <si>
    <t>00001050000000244340</t>
  </si>
  <si>
    <t>000.0106.000000.129.213</t>
  </si>
  <si>
    <t>000.0113.00000000.119.213</t>
  </si>
  <si>
    <t>000.0113.00000000.129.213</t>
  </si>
  <si>
    <t>000.0314.0000000.111.211</t>
  </si>
  <si>
    <t>000.0314.0000000.119.213</t>
  </si>
  <si>
    <t>000.0314.0000000.112.212</t>
  </si>
  <si>
    <t>000.0314.0000000.242.221</t>
  </si>
  <si>
    <t>00003000000000000221</t>
  </si>
  <si>
    <t>000.0401.0000000.129.213</t>
  </si>
  <si>
    <t>000.0401.0000000.244.221</t>
  </si>
  <si>
    <t>000.0405.0000000.242.221</t>
  </si>
  <si>
    <t>000.0405.0000000.244.221</t>
  </si>
  <si>
    <t>000.0405.0000000.244.222</t>
  </si>
  <si>
    <t>000.0405.0000000.244.340</t>
  </si>
  <si>
    <t>000.0701.0000000.119.213</t>
  </si>
  <si>
    <t>000.0701.0000000.243.225</t>
  </si>
  <si>
    <t>000.0702.0000000.119.213</t>
  </si>
  <si>
    <t>000.0801.0000000.119.213</t>
  </si>
  <si>
    <t>000.0804.0000000.119.213</t>
  </si>
  <si>
    <t>00009090000000111211</t>
  </si>
  <si>
    <t>000.1003.0000000.129.213</t>
  </si>
  <si>
    <t>000.1003.0000000.244.225</t>
  </si>
  <si>
    <t>000.1006.0000000.129.213</t>
  </si>
  <si>
    <t>000.1006.0000000.244.225</t>
  </si>
  <si>
    <t>000 1 19 05000 13 0000 151</t>
  </si>
  <si>
    <t>000 1 17 01050 13 0000 180</t>
  </si>
  <si>
    <t>000 1 16 33050 13 0000 140</t>
  </si>
  <si>
    <t>000 1 16 32000 13 0000 140</t>
  </si>
  <si>
    <t xml:space="preserve">000 2 19 05000 13 0000 151 </t>
  </si>
  <si>
    <t>129.213</t>
  </si>
  <si>
    <t>0407</t>
  </si>
  <si>
    <t>5330173040</t>
  </si>
  <si>
    <t>11390A0073140</t>
  </si>
  <si>
    <t xml:space="preserve">субвенция льготы ЖКХ </t>
  </si>
  <si>
    <t>5510373070/842</t>
  </si>
  <si>
    <t>0002 02 02077 05 0000 151</t>
  </si>
  <si>
    <t xml:space="preserve">Субсидии бюджетам на софинансирование капитальных вложений в объекты государственной (муниципальной) собственности
               </t>
  </si>
  <si>
    <t>МАМСКОЕ</t>
  </si>
  <si>
    <t>000,0103.000000.242,000</t>
  </si>
  <si>
    <t>000.0103.000000.244.000</t>
  </si>
  <si>
    <t>000.0103.000000.852.000</t>
  </si>
  <si>
    <t>000.0104.000000.242.000</t>
  </si>
  <si>
    <t>000.0104.000000.244.000</t>
  </si>
  <si>
    <t>000.0104.000000.831.000</t>
  </si>
  <si>
    <t>000.0104.000000.852.000</t>
  </si>
  <si>
    <t>000.0106.000000.242.000</t>
  </si>
  <si>
    <t>000.0106.000000.244.000</t>
  </si>
  <si>
    <t>000.0106.000000.852.000</t>
  </si>
  <si>
    <t>000.0113.00000000.242.000</t>
  </si>
  <si>
    <t>000.0113.00000000.244.000</t>
  </si>
  <si>
    <t>000.0113.00000000.852.000</t>
  </si>
  <si>
    <t>000.0302.00000000.244.290</t>
  </si>
  <si>
    <t>0000.0309.0000000.242.000</t>
  </si>
  <si>
    <t>0000.0309.0000000.244.000</t>
  </si>
  <si>
    <t>000.0310.0000000.242.000</t>
  </si>
  <si>
    <t>000.0310.0000000.244.000</t>
  </si>
  <si>
    <t>000,0314.0000000.242.000</t>
  </si>
  <si>
    <t>000.0314.0000000.244.000</t>
  </si>
  <si>
    <t>000.0401.0000000.242.000</t>
  </si>
  <si>
    <t>000.0401.0000000.244.000</t>
  </si>
  <si>
    <t>000.0405.0000000.244.000</t>
  </si>
  <si>
    <t>000.0701.0000000.242.000</t>
  </si>
  <si>
    <t>000.0701.0000000.244.000</t>
  </si>
  <si>
    <t>000.0701.0000000.851.000</t>
  </si>
  <si>
    <t>000.0701.0000000.852.000</t>
  </si>
  <si>
    <t>000.0701.0000000.243.000</t>
  </si>
  <si>
    <t>000.0702.0000000.242.000</t>
  </si>
  <si>
    <t>000.0702.0000000.244.000</t>
  </si>
  <si>
    <t>000.0702.0000000.851.000</t>
  </si>
  <si>
    <t>000.0702.0000000.852.000</t>
  </si>
  <si>
    <t>000.0702.0000000.243.000</t>
  </si>
  <si>
    <t>000.0707.0000000.244.000</t>
  </si>
  <si>
    <t>000.0709.0000000.242.000</t>
  </si>
  <si>
    <t>000.0709.0000000.244.000</t>
  </si>
  <si>
    <t>000.0709.0000000.851.000</t>
  </si>
  <si>
    <t>000.0709.0000000.852.000</t>
  </si>
  <si>
    <t>000.0801.0000000.242.000</t>
  </si>
  <si>
    <t>000.0801.0000000.244.000</t>
  </si>
  <si>
    <t>000.0801.0000000.852.000</t>
  </si>
  <si>
    <t>000.0804.0000000.242.000</t>
  </si>
  <si>
    <t>000.0804.0000000.244.000</t>
  </si>
  <si>
    <t>000.0804.0000000.852.000</t>
  </si>
  <si>
    <t>Наименование органа, организующего исполнение бюджета</t>
  </si>
  <si>
    <t>Наименование бюджета</t>
  </si>
  <si>
    <t>Периодичность: месячная</t>
  </si>
  <si>
    <t>Единица измерения:  руб. (с точностью до двух десятичных знаков)</t>
  </si>
  <si>
    <t>Запланировано</t>
  </si>
  <si>
    <t>бюджеты городских поселений</t>
  </si>
  <si>
    <t>раздел (подраздел)</t>
  </si>
  <si>
    <t>вид расхода</t>
  </si>
  <si>
    <t>РАЗДЕЛ I  "Показатели за счет бюджетных средств"</t>
  </si>
  <si>
    <t>0000</t>
  </si>
  <si>
    <t>000</t>
  </si>
  <si>
    <t>121</t>
  </si>
  <si>
    <t>129</t>
  </si>
  <si>
    <t>в том числе расходы по содержанию органов муниципального финансового контроля</t>
  </si>
  <si>
    <t>в том числе расходы по содержанию органов местного самоуправления, направленные на выполнение полномочий субъекта Российской Федерации</t>
  </si>
  <si>
    <t>Поддержка жилищного хозяйства, всего</t>
  </si>
  <si>
    <t>0501</t>
  </si>
  <si>
    <t>0502</t>
  </si>
  <si>
    <t>Расходы по предоставлению дополнительного образования детям</t>
  </si>
  <si>
    <t>04110</t>
  </si>
  <si>
    <t>0700</t>
  </si>
  <si>
    <t>Резервный фонд исполнительных органов государственной власти субъекта Российской Федерации (местных администраций)</t>
  </si>
  <si>
    <t>Государственные и муниципальные программы</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</si>
  <si>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</si>
  <si>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 xml:space="preserve">     фонд оплаты труда         </t>
  </si>
  <si>
    <t xml:space="preserve">         взносы по обязательному  
         социальному страхованию на 
         выплаты денежного содержания
         и иные выплаты работникам         </t>
  </si>
  <si>
    <t xml:space="preserve">     по коммунальным услугам</t>
  </si>
  <si>
    <t xml:space="preserve">     по пособиям по социальной
     помощи населению</t>
  </si>
  <si>
    <t>12400</t>
  </si>
  <si>
    <t>12520</t>
  </si>
  <si>
    <t>Расходы на фонд оплаты труда работникам учреждений, осуществляемые за счет средств бюджетов бюджетной системы Российской Федерации</t>
  </si>
  <si>
    <t xml:space="preserve"> в сфере образования</t>
  </si>
  <si>
    <t>0800</t>
  </si>
  <si>
    <t>Взносы по обязательному социальному страхованию на выплаты по оплате труда работников и иные выплаты работникам учреждений</t>
  </si>
  <si>
    <t>в сфере образования</t>
  </si>
  <si>
    <t>РАЗДЕЛ II "Показатели с учетом финансово-хозяйственной деятельности учреждений за счет всех источников финансирования"</t>
  </si>
  <si>
    <t xml:space="preserve"> (по состоянию на 1 апреля, 1 июля, 1 октября текущего финансового года и 1 января года, следующего за отчетным)</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</si>
  <si>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</si>
  <si>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Расходы на фонд оплаты труда работникам учреждений</t>
  </si>
  <si>
    <t>23600</t>
  </si>
  <si>
    <t>24600</t>
  </si>
  <si>
    <t>из них остатки целевых средств бюджетов</t>
  </si>
  <si>
    <t>Капитальные вложения (расходы казенных учреждений на приобретение (изготовление) объектов относящихся к основным средствам)</t>
  </si>
  <si>
    <t>Мамско-чуйский район</t>
  </si>
  <si>
    <t>111</t>
  </si>
  <si>
    <t>00</t>
  </si>
  <si>
    <t>119</t>
  </si>
  <si>
    <t xml:space="preserve">         фонд оплаты труда государственных  (муниципальных) органов </t>
  </si>
  <si>
    <t xml:space="preserve">         иные выплаты персоналу  государственных (муниципальных) органов и   лицам, привлекаемым для   выполнения отдельных полномочий</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</si>
  <si>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(муниципальных)органов</t>
  </si>
  <si>
    <t xml:space="preserve">         фонд оплаты труда  государственных  (муниципальных) органов </t>
  </si>
  <si>
    <t xml:space="preserve">         иные выплаты персоналу  государственных  (муниципальных) органов и  лицам, привлекаемым для  выполнения отдельных  полномочий</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</si>
  <si>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</si>
  <si>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21 гр</t>
  </si>
  <si>
    <t>22гр</t>
  </si>
  <si>
    <t>000 2 02 01001 13 0000 151дотация области</t>
  </si>
  <si>
    <t>000 2 02 01001 13 0000 151 дотация с района</t>
  </si>
  <si>
    <t>000 2 02 03015 13 0000 151(воин.уч)</t>
  </si>
  <si>
    <t>000 2 02 03024 13 0000 151 (гос.полномочия)</t>
  </si>
  <si>
    <t>242</t>
  </si>
  <si>
    <t>244</t>
  </si>
  <si>
    <t>852</t>
  </si>
  <si>
    <t>заполняется поквартально</t>
  </si>
  <si>
    <t>122</t>
  </si>
  <si>
    <t>321.263</t>
  </si>
  <si>
    <t>321.262</t>
  </si>
  <si>
    <t>1101.                      244.000</t>
  </si>
  <si>
    <t>Результат по внутр.оборот.</t>
  </si>
  <si>
    <t>262,263</t>
  </si>
  <si>
    <t>0409</t>
  </si>
  <si>
    <t>0111</t>
  </si>
  <si>
    <t>000.1003.0000000.242.</t>
  </si>
  <si>
    <t>000.1003.0000000.244.</t>
  </si>
  <si>
    <t>000.1003.0000000.313.</t>
  </si>
  <si>
    <t>000.1003.0000000.323</t>
  </si>
  <si>
    <t>00011010000000000244</t>
  </si>
  <si>
    <t>000110500000000000244</t>
  </si>
  <si>
    <t>000.1006.0000000.242.</t>
  </si>
  <si>
    <t>000.1006.0000000.244.</t>
  </si>
  <si>
    <t>000.0310.0000000.244.222</t>
  </si>
  <si>
    <t>000.0407.0000000.000.000</t>
  </si>
  <si>
    <t>000.0407.0000000.244.226</t>
  </si>
  <si>
    <t>000.1003.0000000.313.340</t>
  </si>
  <si>
    <t>000.1401.0000000.540.251</t>
  </si>
  <si>
    <t>853.290</t>
  </si>
  <si>
    <t>853</t>
  </si>
  <si>
    <t>000.0104.000000.853.290</t>
  </si>
  <si>
    <t>000.0709.0000000.111.211</t>
  </si>
  <si>
    <t>000.0709.0000000.119.213</t>
  </si>
  <si>
    <t>242.224</t>
  </si>
  <si>
    <t>41гр</t>
  </si>
  <si>
    <t>42 гр</t>
  </si>
  <si>
    <t>000 2 02 03121 05 0000151</t>
  </si>
  <si>
    <t>000 9600 0000000 000 000</t>
  </si>
  <si>
    <t>Остатки средств на 01.03.2016г:</t>
  </si>
  <si>
    <t xml:space="preserve">Акцизы 2016г              </t>
  </si>
  <si>
    <t>на 1 марта  2016 года</t>
  </si>
  <si>
    <t xml:space="preserve">Акцизы 2016г                        </t>
  </si>
  <si>
    <r>
      <t xml:space="preserve">Справочно: </t>
    </r>
    <r>
      <rPr>
        <b/>
        <u/>
        <sz val="9"/>
        <rFont val="Times New Roman"/>
        <family val="1"/>
        <charset val="204"/>
      </rPr>
      <t>Остатки средств на 01.03.2016г:</t>
    </r>
  </si>
  <si>
    <t>на 1 марта 2016 года</t>
  </si>
  <si>
    <t>на 1 марта 2015 года</t>
  </si>
  <si>
    <t xml:space="preserve">Акцизы 2016г.      </t>
  </si>
  <si>
    <t>на1 марта 2016 года</t>
  </si>
  <si>
    <t xml:space="preserve">Акцизы 2016г.        </t>
  </si>
  <si>
    <t>Остатки средств           01.03.2016г:</t>
  </si>
  <si>
    <t>12620</t>
  </si>
  <si>
    <t xml:space="preserve">Закупка казенными учреждениями товаров, работ, услуг в целях капитального ремонта государственного (муниципального) имущества </t>
  </si>
  <si>
    <t>Руководитель</t>
  </si>
  <si>
    <t>Зябрева Н,В,</t>
  </si>
  <si>
    <t>на 1  апреля 2016г.</t>
  </si>
  <si>
    <t xml:space="preserve">                                                                                                                                                               на 1 апреля 2016 года                                                                                                          </t>
  </si>
  <si>
    <t>на 01 апреля 2016</t>
  </si>
  <si>
    <t>Справочная таблица к отчету исполнения бюджета на 1 апреля 2016г.</t>
  </si>
  <si>
    <t xml:space="preserve">Утверждаю: </t>
  </si>
  <si>
    <t>и.о. главы администрации района</t>
  </si>
  <si>
    <t>В.Л.Емельянов</t>
  </si>
  <si>
    <t>14 апреля 2016 года</t>
  </si>
</sst>
</file>

<file path=xl/styles.xml><?xml version="1.0" encoding="utf-8"?>
<styleSheet xmlns="http://schemas.openxmlformats.org/spreadsheetml/2006/main">
  <numFmts count="3">
    <numFmt numFmtId="44" formatCode="_-* #,##0.00&quot;р.&quot;_-;\-* #,##0.00&quot;р.&quot;_-;_-* &quot;-&quot;??&quot;р.&quot;_-;_-@_-"/>
    <numFmt numFmtId="43" formatCode="_-* #,##0.00_р_._-;\-* #,##0.00_р_._-;_-* &quot;-&quot;??_р_._-;_-@_-"/>
    <numFmt numFmtId="164" formatCode="#,##0_ ;[Red]\-#,##0"/>
  </numFmts>
  <fonts count="105">
    <font>
      <sz val="8"/>
      <name val="Arial Cyr"/>
      <family val="2"/>
      <charset val="204"/>
    </font>
    <font>
      <sz val="10"/>
      <name val="Arial Cyr"/>
      <charset val="204"/>
    </font>
    <font>
      <sz val="10"/>
      <name val="Arial Cyr"/>
      <family val="2"/>
      <charset val="204"/>
    </font>
    <font>
      <b/>
      <sz val="10"/>
      <name val="Arial Cyr"/>
      <family val="2"/>
      <charset val="204"/>
    </font>
    <font>
      <sz val="8"/>
      <name val="Arial Cyr"/>
      <family val="2"/>
      <charset val="204"/>
    </font>
    <font>
      <sz val="9"/>
      <name val="Arial Cyr"/>
      <family val="2"/>
      <charset val="204"/>
    </font>
    <font>
      <sz val="11"/>
      <name val="Arial Cyr"/>
      <family val="2"/>
      <charset val="204"/>
    </font>
    <font>
      <b/>
      <sz val="11"/>
      <name val="Arial Cyr"/>
      <family val="2"/>
      <charset val="204"/>
    </font>
    <font>
      <b/>
      <sz val="12"/>
      <name val="Arial Cyr"/>
      <family val="2"/>
      <charset val="204"/>
    </font>
    <font>
      <b/>
      <sz val="11"/>
      <name val="Arial Cyr"/>
      <charset val="204"/>
    </font>
    <font>
      <sz val="8"/>
      <name val="Arial Cyr"/>
      <charset val="204"/>
    </font>
    <font>
      <b/>
      <sz val="10"/>
      <name val="Arial Cyr"/>
      <charset val="204"/>
    </font>
    <font>
      <b/>
      <sz val="8"/>
      <name val="Arial Cyr"/>
      <charset val="204"/>
    </font>
    <font>
      <sz val="11"/>
      <name val="Arial Cyr"/>
      <charset val="204"/>
    </font>
    <font>
      <sz val="7"/>
      <name val="Arial Cyr"/>
      <family val="2"/>
      <charset val="204"/>
    </font>
    <font>
      <b/>
      <sz val="10"/>
      <name val="Arial"/>
      <family val="2"/>
      <charset val="204"/>
    </font>
    <font>
      <i/>
      <sz val="10"/>
      <name val="Arial Cyr"/>
      <charset val="204"/>
    </font>
    <font>
      <i/>
      <sz val="8"/>
      <name val="Arial CYR"/>
      <charset val="204"/>
    </font>
    <font>
      <sz val="12"/>
      <name val="Arial Cyr"/>
      <family val="2"/>
      <charset val="204"/>
    </font>
    <font>
      <i/>
      <sz val="12"/>
      <name val="Arial Cyr"/>
      <charset val="204"/>
    </font>
    <font>
      <sz val="12"/>
      <name val="Arial Cyr"/>
      <charset val="204"/>
    </font>
    <font>
      <b/>
      <sz val="12"/>
      <name val="Arial Cyr"/>
      <charset val="204"/>
    </font>
    <font>
      <b/>
      <i/>
      <sz val="12"/>
      <name val="Arial Cyr"/>
      <family val="2"/>
      <charset val="204"/>
    </font>
    <font>
      <i/>
      <sz val="12"/>
      <name val="Arial Cyr"/>
      <family val="2"/>
      <charset val="204"/>
    </font>
    <font>
      <i/>
      <sz val="10"/>
      <name val="Arial Cyr"/>
      <family val="2"/>
      <charset val="204"/>
    </font>
    <font>
      <b/>
      <sz val="13"/>
      <name val="Arial Cyr"/>
      <charset val="204"/>
    </font>
    <font>
      <i/>
      <sz val="13"/>
      <name val="Arial Cyr"/>
      <charset val="204"/>
    </font>
    <font>
      <sz val="13"/>
      <name val="Arial Cyr"/>
      <charset val="204"/>
    </font>
    <font>
      <b/>
      <i/>
      <sz val="13"/>
      <name val="Arial Cyr"/>
      <charset val="204"/>
    </font>
    <font>
      <b/>
      <sz val="13"/>
      <name val="Arial Cyr"/>
      <family val="2"/>
      <charset val="204"/>
    </font>
    <font>
      <b/>
      <sz val="8"/>
      <name val="Arial Cyr"/>
      <family val="2"/>
      <charset val="204"/>
    </font>
    <font>
      <u/>
      <sz val="8"/>
      <name val="Arial CYR"/>
      <charset val="204"/>
    </font>
    <font>
      <b/>
      <i/>
      <sz val="10"/>
      <name val="Arial Cyr"/>
      <charset val="204"/>
    </font>
    <font>
      <sz val="8"/>
      <name val="Arial Cyr"/>
      <family val="2"/>
      <charset val="204"/>
    </font>
    <font>
      <b/>
      <sz val="12"/>
      <name val="Times New Roman"/>
      <family val="1"/>
      <charset val="204"/>
    </font>
    <font>
      <b/>
      <sz val="12"/>
      <name val="Arial"/>
      <family val="2"/>
      <charset val="204"/>
    </font>
    <font>
      <sz val="13"/>
      <name val="Arial Cyr"/>
      <family val="2"/>
      <charset val="204"/>
    </font>
    <font>
      <b/>
      <sz val="11"/>
      <name val="Times New Roman"/>
      <family val="1"/>
      <charset val="204"/>
    </font>
    <font>
      <b/>
      <sz val="14"/>
      <name val="Arial Cyr"/>
      <family val="2"/>
      <charset val="204"/>
    </font>
    <font>
      <sz val="8"/>
      <color indexed="10"/>
      <name val="Arial CYR"/>
      <family val="2"/>
      <charset val="204"/>
    </font>
    <font>
      <sz val="10"/>
      <name val="Helv"/>
    </font>
    <font>
      <sz val="14"/>
      <name val="Arial Cyr"/>
      <family val="2"/>
      <charset val="204"/>
    </font>
    <font>
      <b/>
      <sz val="14"/>
      <name val="Arial Cyr"/>
      <charset val="204"/>
    </font>
    <font>
      <b/>
      <sz val="9"/>
      <name val="Arial Cyr"/>
      <charset val="204"/>
    </font>
    <font>
      <sz val="9"/>
      <name val="Arial Cyr"/>
      <charset val="204"/>
    </font>
    <font>
      <b/>
      <i/>
      <sz val="12"/>
      <name val="Arial Cyr"/>
      <charset val="204"/>
    </font>
    <font>
      <b/>
      <sz val="9"/>
      <name val="Arial"/>
      <family val="2"/>
      <charset val="204"/>
    </font>
    <font>
      <sz val="9"/>
      <name val="Arial"/>
      <family val="2"/>
      <charset val="204"/>
    </font>
    <font>
      <b/>
      <sz val="9"/>
      <name val="Arial"/>
      <family val="2"/>
      <charset val="204"/>
    </font>
    <font>
      <sz val="9"/>
      <color indexed="8"/>
      <name val="Arial"/>
      <family val="2"/>
      <charset val="204"/>
    </font>
    <font>
      <b/>
      <sz val="9"/>
      <color indexed="8"/>
      <name val="Arial"/>
      <family val="2"/>
      <charset val="204"/>
    </font>
    <font>
      <sz val="9"/>
      <color indexed="8"/>
      <name val="Arial"/>
      <family val="2"/>
      <charset val="204"/>
    </font>
    <font>
      <b/>
      <i/>
      <sz val="9"/>
      <name val="Arial"/>
      <family val="2"/>
      <charset val="204"/>
    </font>
    <font>
      <b/>
      <i/>
      <sz val="9"/>
      <name val="Arial"/>
      <family val="2"/>
      <charset val="204"/>
    </font>
    <font>
      <b/>
      <sz val="9"/>
      <color indexed="8"/>
      <name val="Arial"/>
      <family val="2"/>
      <charset val="204"/>
    </font>
    <font>
      <b/>
      <i/>
      <sz val="9"/>
      <name val="Times New Roman"/>
      <family val="1"/>
      <charset val="204"/>
    </font>
    <font>
      <b/>
      <sz val="9"/>
      <name val="Times New Roman"/>
      <family val="1"/>
      <charset val="204"/>
    </font>
    <font>
      <sz val="9"/>
      <name val="Times New Roman"/>
      <family val="1"/>
      <charset val="204"/>
    </font>
    <font>
      <b/>
      <sz val="9"/>
      <name val="Arial Cyr"/>
      <family val="2"/>
      <charset val="204"/>
    </font>
    <font>
      <i/>
      <sz val="9"/>
      <name val="Arial"/>
      <family val="2"/>
      <charset val="204"/>
    </font>
    <font>
      <i/>
      <sz val="9"/>
      <color indexed="8"/>
      <name val="Arial"/>
      <family val="2"/>
      <charset val="204"/>
    </font>
    <font>
      <i/>
      <sz val="11"/>
      <name val="Arial Cyr"/>
      <charset val="204"/>
    </font>
    <font>
      <b/>
      <i/>
      <sz val="9"/>
      <color indexed="8"/>
      <name val="Arial"/>
      <family val="2"/>
      <charset val="204"/>
    </font>
    <font>
      <i/>
      <sz val="9"/>
      <name val="Times New Roman"/>
      <family val="1"/>
      <charset val="204"/>
    </font>
    <font>
      <sz val="12"/>
      <color indexed="10"/>
      <name val="Arial Cyr"/>
      <charset val="204"/>
    </font>
    <font>
      <sz val="8"/>
      <color indexed="10"/>
      <name val="Arial CYR"/>
      <family val="2"/>
      <charset val="204"/>
    </font>
    <font>
      <sz val="11"/>
      <name val="Times New Roman"/>
      <family val="1"/>
      <charset val="204"/>
    </font>
    <font>
      <sz val="8"/>
      <color indexed="10"/>
      <name val="Arial CYR"/>
      <family val="2"/>
      <charset val="204"/>
    </font>
    <font>
      <sz val="12"/>
      <color indexed="10"/>
      <name val="Arial Cyr"/>
      <family val="2"/>
      <charset val="204"/>
    </font>
    <font>
      <sz val="14"/>
      <name val="Arial Cyr"/>
      <charset val="204"/>
    </font>
    <font>
      <sz val="13"/>
      <color indexed="10"/>
      <name val="Arial Cyr"/>
      <charset val="204"/>
    </font>
    <font>
      <sz val="13"/>
      <color indexed="10"/>
      <name val="Arial Cyr"/>
      <charset val="204"/>
    </font>
    <font>
      <b/>
      <sz val="12"/>
      <color indexed="28"/>
      <name val="Arial Cyr"/>
      <family val="2"/>
      <charset val="204"/>
    </font>
    <font>
      <b/>
      <sz val="13"/>
      <color indexed="28"/>
      <name val="Arial Cyr"/>
      <family val="2"/>
      <charset val="204"/>
    </font>
    <font>
      <sz val="11"/>
      <name val="Arial Narrow"/>
      <family val="2"/>
    </font>
    <font>
      <sz val="16"/>
      <name val="Arial Cyr"/>
      <family val="2"/>
      <charset val="204"/>
    </font>
    <font>
      <b/>
      <sz val="8"/>
      <color indexed="8"/>
      <name val="Arial"/>
      <family val="2"/>
      <charset val="204"/>
    </font>
    <font>
      <b/>
      <sz val="8"/>
      <name val="Arial"/>
      <family val="2"/>
      <charset val="204"/>
    </font>
    <font>
      <sz val="8"/>
      <color indexed="8"/>
      <name val="Arial"/>
      <family val="2"/>
      <charset val="204"/>
    </font>
    <font>
      <sz val="12"/>
      <color rgb="FFFF0000"/>
      <name val="Arial Cyr"/>
      <family val="2"/>
      <charset val="204"/>
    </font>
    <font>
      <u/>
      <sz val="9"/>
      <name val="Times New Roman"/>
      <family val="1"/>
      <charset val="204"/>
    </font>
    <font>
      <b/>
      <u/>
      <sz val="9"/>
      <name val="Times New Roman"/>
      <family val="1"/>
      <charset val="204"/>
    </font>
    <font>
      <sz val="8"/>
      <color rgb="FFFF0000"/>
      <name val="Arial Cyr"/>
      <family val="2"/>
      <charset val="204"/>
    </font>
    <font>
      <sz val="9"/>
      <color rgb="FF000000"/>
      <name val="Times New Roman"/>
      <family val="1"/>
      <charset val="204"/>
    </font>
    <font>
      <b/>
      <sz val="9"/>
      <color rgb="FF000000"/>
      <name val="Times New Roman"/>
      <family val="1"/>
      <charset val="204"/>
    </font>
    <font>
      <i/>
      <sz val="9"/>
      <color rgb="FF000000"/>
      <name val="Times New Roman"/>
      <family val="1"/>
      <charset val="204"/>
    </font>
    <font>
      <sz val="9"/>
      <name val="Times New Roman"/>
      <family val="1"/>
      <charset val="204"/>
    </font>
    <font>
      <b/>
      <sz val="9"/>
      <color rgb="FF000000"/>
      <name val="Times New Roman"/>
      <family val="1"/>
      <charset val="204"/>
    </font>
    <font>
      <sz val="10"/>
      <name val="Arial Cyr"/>
    </font>
    <font>
      <sz val="8"/>
      <name val="Arial Cyr"/>
    </font>
    <font>
      <b/>
      <sz val="12"/>
      <name val="Arial Cyr"/>
    </font>
    <font>
      <b/>
      <sz val="8"/>
      <name val="Arial Cyr"/>
    </font>
    <font>
      <sz val="7"/>
      <name val="Arial Cyr"/>
    </font>
    <font>
      <sz val="8"/>
      <name val="Arial"/>
      <family val="2"/>
      <charset val="204"/>
    </font>
    <font>
      <sz val="10"/>
      <name val="Arial"/>
      <family val="2"/>
      <charset val="204"/>
    </font>
    <font>
      <sz val="9"/>
      <name val="Arial Cyr"/>
    </font>
    <font>
      <b/>
      <sz val="10"/>
      <name val="Arial Cyr"/>
    </font>
    <font>
      <b/>
      <i/>
      <sz val="8"/>
      <name val="Arial CYR"/>
    </font>
    <font>
      <i/>
      <sz val="8"/>
      <name val="Arial CYR"/>
    </font>
    <font>
      <sz val="10"/>
      <name val="Arial"/>
      <family val="2"/>
      <charset val="204"/>
    </font>
    <font>
      <sz val="16"/>
      <name val="Arial Cyr"/>
    </font>
    <font>
      <sz val="10"/>
      <color indexed="10"/>
      <name val="Arial Cyr"/>
      <charset val="204"/>
    </font>
    <font>
      <b/>
      <sz val="9"/>
      <name val="Arial Cyr"/>
    </font>
    <font>
      <sz val="8"/>
      <name val="Arial"/>
      <family val="2"/>
      <charset val="204"/>
    </font>
    <font>
      <sz val="12"/>
      <name val="Arial"/>
      <family val="2"/>
      <charset val="204"/>
    </font>
  </fonts>
  <fills count="45">
    <fill>
      <patternFill patternType="none"/>
    </fill>
    <fill>
      <patternFill patternType="gray125"/>
    </fill>
    <fill>
      <patternFill patternType="solid">
        <fgColor indexed="40"/>
        <bgColor indexed="64"/>
      </patternFill>
    </fill>
    <fill>
      <patternFill patternType="solid">
        <fgColor indexed="14"/>
        <bgColor indexed="64"/>
      </patternFill>
    </fill>
    <fill>
      <patternFill patternType="solid">
        <fgColor indexed="46"/>
        <bgColor indexed="64"/>
      </patternFill>
    </fill>
    <fill>
      <patternFill patternType="solid">
        <fgColor indexed="13"/>
        <bgColor indexed="64"/>
      </patternFill>
    </fill>
    <fill>
      <patternFill patternType="solid">
        <fgColor indexed="49"/>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indexed="50"/>
        <bgColor indexed="64"/>
      </patternFill>
    </fill>
    <fill>
      <patternFill patternType="solid">
        <fgColor indexed="29"/>
        <bgColor indexed="64"/>
      </patternFill>
    </fill>
    <fill>
      <patternFill patternType="solid">
        <fgColor indexed="60"/>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C4BD97"/>
        <bgColor indexed="64"/>
      </patternFill>
    </fill>
    <fill>
      <patternFill patternType="solid">
        <fgColor rgb="FFFF99CC"/>
        <bgColor indexed="64"/>
      </patternFill>
    </fill>
    <fill>
      <patternFill patternType="solid">
        <fgColor rgb="FFCCFFCC"/>
        <bgColor indexed="64"/>
      </patternFill>
    </fill>
    <fill>
      <patternFill patternType="solid">
        <fgColor rgb="FFDDD9C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rgb="FF00B050"/>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hair">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indexed="64"/>
      </right>
      <top style="thin">
        <color indexed="64"/>
      </top>
      <bottom style="medium">
        <color rgb="FF000000"/>
      </bottom>
      <diagonal/>
    </border>
    <border>
      <left/>
      <right style="thin">
        <color indexed="64"/>
      </right>
      <top style="medium">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medium">
        <color indexed="64"/>
      </top>
      <bottom/>
      <diagonal/>
    </border>
    <border>
      <left style="thin">
        <color indexed="64"/>
      </left>
      <right style="thin">
        <color rgb="FF000000"/>
      </right>
      <top style="thin">
        <color rgb="FF000000"/>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002060"/>
      </left>
      <right/>
      <top style="medium">
        <color rgb="FF002060"/>
      </top>
      <bottom style="medium">
        <color rgb="FF002060"/>
      </bottom>
      <diagonal/>
    </border>
    <border>
      <left style="medium">
        <color indexed="64"/>
      </left>
      <right style="thin">
        <color indexed="64"/>
      </right>
      <top style="medium">
        <color rgb="FF002060"/>
      </top>
      <bottom style="medium">
        <color rgb="FF002060"/>
      </bottom>
      <diagonal/>
    </border>
    <border>
      <left style="thin">
        <color indexed="64"/>
      </left>
      <right style="medium">
        <color indexed="64"/>
      </right>
      <top style="medium">
        <color rgb="FF002060"/>
      </top>
      <bottom style="medium">
        <color rgb="FF002060"/>
      </bottom>
      <diagonal/>
    </border>
    <border>
      <left/>
      <right style="thin">
        <color indexed="64"/>
      </right>
      <top style="medium">
        <color rgb="FF002060"/>
      </top>
      <bottom style="medium">
        <color rgb="FF002060"/>
      </bottom>
      <diagonal/>
    </border>
    <border>
      <left style="thin">
        <color indexed="64"/>
      </left>
      <right style="medium">
        <color rgb="FF002060"/>
      </right>
      <top style="medium">
        <color rgb="FF002060"/>
      </top>
      <bottom style="medium">
        <color rgb="FF002060"/>
      </bottom>
      <diagonal/>
    </border>
    <border>
      <left/>
      <right/>
      <top style="medium">
        <color rgb="FF002060"/>
      </top>
      <bottom style="thin">
        <color rgb="FF002060"/>
      </bottom>
      <diagonal/>
    </border>
    <border>
      <left style="medium">
        <color indexed="64"/>
      </left>
      <right style="thin">
        <color indexed="64"/>
      </right>
      <top style="medium">
        <color rgb="FF002060"/>
      </top>
      <bottom style="thin">
        <color rgb="FF002060"/>
      </bottom>
      <diagonal/>
    </border>
    <border>
      <left style="medium">
        <color indexed="64"/>
      </left>
      <right style="thin">
        <color rgb="FF002060"/>
      </right>
      <top style="thin">
        <color indexed="64"/>
      </top>
      <bottom style="thin">
        <color indexed="64"/>
      </bottom>
      <diagonal/>
    </border>
    <border>
      <left style="medium">
        <color indexed="64"/>
      </left>
      <right style="thin">
        <color rgb="FF002060"/>
      </right>
      <top style="medium">
        <color rgb="FF002060"/>
      </top>
      <bottom style="medium">
        <color rgb="FF002060"/>
      </bottom>
      <diagonal/>
    </border>
    <border>
      <left style="medium">
        <color indexed="64"/>
      </left>
      <right style="thin">
        <color indexed="64"/>
      </right>
      <top style="thin">
        <color indexed="64"/>
      </top>
      <bottom style="thin">
        <color rgb="FF002060"/>
      </bottom>
      <diagonal/>
    </border>
    <border>
      <left style="medium">
        <color indexed="64"/>
      </left>
      <right style="thin">
        <color indexed="64"/>
      </right>
      <top style="medium">
        <color rgb="FF002060"/>
      </top>
      <bottom style="thin">
        <color indexed="64"/>
      </bottom>
      <diagonal/>
    </border>
    <border>
      <left style="medium">
        <color rgb="FF002060"/>
      </left>
      <right/>
      <top/>
      <bottom style="medium">
        <color rgb="FF002060"/>
      </bottom>
      <diagonal/>
    </border>
    <border>
      <left style="medium">
        <color indexed="64"/>
      </left>
      <right style="thin">
        <color indexed="64"/>
      </right>
      <top style="medium">
        <color indexed="64"/>
      </top>
      <bottom style="medium">
        <color rgb="FF002060"/>
      </bottom>
      <diagonal/>
    </border>
    <border>
      <left/>
      <right style="medium">
        <color indexed="64"/>
      </right>
      <top style="medium">
        <color indexed="64"/>
      </top>
      <bottom style="medium">
        <color rgb="FF002060"/>
      </bottom>
      <diagonal/>
    </border>
    <border>
      <left/>
      <right style="medium">
        <color indexed="64"/>
      </right>
      <top style="thin">
        <color indexed="64"/>
      </top>
      <bottom style="medium">
        <color indexed="64"/>
      </bottom>
      <diagonal/>
    </border>
    <border>
      <left style="thin">
        <color rgb="FF002060"/>
      </left>
      <right/>
      <top/>
      <bottom style="thin">
        <color rgb="FF002060"/>
      </bottom>
      <diagonal/>
    </border>
    <border>
      <left style="thin">
        <color rgb="FF002060"/>
      </left>
      <right/>
      <top style="thin">
        <color rgb="FF002060"/>
      </top>
      <bottom style="thin">
        <color rgb="FF002060"/>
      </bottom>
      <diagonal/>
    </border>
    <border>
      <left style="thin">
        <color indexed="64"/>
      </left>
      <right style="medium">
        <color indexed="64"/>
      </right>
      <top style="medium">
        <color indexed="64"/>
      </top>
      <bottom style="medium">
        <color rgb="FF002060"/>
      </bottom>
      <diagonal/>
    </border>
    <border>
      <left/>
      <right style="medium">
        <color indexed="64"/>
      </right>
      <top style="medium">
        <color rgb="FF002060"/>
      </top>
      <bottom style="medium">
        <color rgb="FF002060"/>
      </bottom>
      <diagonal/>
    </border>
    <border>
      <left/>
      <right style="medium">
        <color indexed="64"/>
      </right>
      <top style="medium">
        <color rgb="FF002060"/>
      </top>
      <bottom style="thin">
        <color rgb="FF002060"/>
      </bottom>
      <diagonal/>
    </border>
    <border>
      <left style="medium">
        <color indexed="64"/>
      </left>
      <right/>
      <top style="medium">
        <color rgb="FF002060"/>
      </top>
      <bottom style="medium">
        <color rgb="FF002060"/>
      </bottom>
      <diagonal/>
    </border>
    <border>
      <left style="medium">
        <color indexed="64"/>
      </left>
      <right style="thin">
        <color rgb="FF002060"/>
      </right>
      <top/>
      <bottom style="thin">
        <color rgb="FF002060"/>
      </bottom>
      <diagonal/>
    </border>
    <border>
      <left style="thin">
        <color rgb="FF002060"/>
      </left>
      <right style="medium">
        <color indexed="64"/>
      </right>
      <top/>
      <bottom style="thin">
        <color rgb="FF002060"/>
      </bottom>
      <diagonal/>
    </border>
    <border>
      <left style="medium">
        <color indexed="64"/>
      </left>
      <right style="thin">
        <color rgb="FF002060"/>
      </right>
      <top style="thin">
        <color rgb="FF002060"/>
      </top>
      <bottom style="thin">
        <color rgb="FF002060"/>
      </bottom>
      <diagonal/>
    </border>
    <border>
      <left style="thin">
        <color rgb="FF002060"/>
      </left>
      <right style="medium">
        <color indexed="64"/>
      </right>
      <top style="thin">
        <color rgb="FF002060"/>
      </top>
      <bottom style="thin">
        <color rgb="FF002060"/>
      </bottom>
      <diagonal/>
    </border>
  </borders>
  <cellStyleXfs count="112">
    <xf numFmtId="0" fontId="0" fillId="0" borderId="0"/>
    <xf numFmtId="44" fontId="1" fillId="0" borderId="0" applyFont="0" applyFill="0" applyBorder="0" applyAlignment="0" applyProtection="0"/>
    <xf numFmtId="0" fontId="1" fillId="0" borderId="0"/>
    <xf numFmtId="0" fontId="4" fillId="0" borderId="0"/>
    <xf numFmtId="0" fontId="1" fillId="0" borderId="0"/>
    <xf numFmtId="0" fontId="10" fillId="0" borderId="0"/>
    <xf numFmtId="43" fontId="1" fillId="0" borderId="0" applyFont="0" applyFill="0" applyBorder="0" applyAlignment="0" applyProtection="0"/>
    <xf numFmtId="49" fontId="83" fillId="0" borderId="77">
      <alignment horizontal="center" vertical="center" wrapText="1"/>
    </xf>
    <xf numFmtId="0" fontId="83" fillId="0" borderId="77">
      <alignment horizontal="center" vertical="center" wrapText="1"/>
    </xf>
    <xf numFmtId="49" fontId="83" fillId="32" borderId="77">
      <alignment horizontal="center" vertical="center" wrapText="1"/>
    </xf>
    <xf numFmtId="0" fontId="83" fillId="32" borderId="77">
      <alignment horizontal="center" vertical="center" wrapText="1"/>
    </xf>
    <xf numFmtId="49" fontId="84" fillId="33" borderId="77">
      <alignment horizontal="left" vertical="center" wrapText="1"/>
    </xf>
    <xf numFmtId="164" fontId="84" fillId="33" borderId="77">
      <alignment horizontal="left" vertical="center" wrapText="1"/>
    </xf>
    <xf numFmtId="49" fontId="83" fillId="34" borderId="77">
      <alignment horizontal="left" vertical="center" wrapText="1"/>
    </xf>
    <xf numFmtId="164" fontId="83" fillId="34" borderId="77">
      <alignment horizontal="left" vertical="center" wrapText="1"/>
    </xf>
    <xf numFmtId="49" fontId="83" fillId="35" borderId="77">
      <alignment horizontal="left" vertical="center" wrapText="1"/>
    </xf>
    <xf numFmtId="164" fontId="83" fillId="35" borderId="77">
      <alignment horizontal="left" vertical="center" wrapText="1"/>
    </xf>
    <xf numFmtId="49" fontId="83" fillId="0" borderId="77">
      <alignment horizontal="left" vertical="center" wrapText="1"/>
    </xf>
    <xf numFmtId="164" fontId="83" fillId="0" borderId="77">
      <alignment horizontal="left" vertical="center" wrapText="1"/>
    </xf>
    <xf numFmtId="49" fontId="85" fillId="0" borderId="77">
      <alignment horizontal="left" vertical="center" wrapText="1"/>
    </xf>
    <xf numFmtId="164" fontId="85" fillId="0" borderId="77">
      <alignment horizontal="left" vertical="center" wrapText="1"/>
    </xf>
    <xf numFmtId="49" fontId="83" fillId="36" borderId="77">
      <alignment horizontal="left" vertical="center" wrapText="1"/>
    </xf>
    <xf numFmtId="0" fontId="83" fillId="36" borderId="77">
      <alignment vertical="center" wrapText="1"/>
    </xf>
    <xf numFmtId="0" fontId="83" fillId="0" borderId="77">
      <alignment vertical="center" wrapText="1"/>
    </xf>
    <xf numFmtId="164" fontId="83" fillId="36" borderId="77">
      <alignment horizontal="left" vertical="center" wrapText="1"/>
    </xf>
    <xf numFmtId="49" fontId="86" fillId="0" borderId="77">
      <alignment horizontal="left" vertical="center" wrapText="1"/>
    </xf>
    <xf numFmtId="49" fontId="83" fillId="33" borderId="77">
      <alignment horizontal="left" vertical="center" wrapText="1"/>
    </xf>
    <xf numFmtId="164" fontId="83" fillId="33" borderId="77">
      <alignment horizontal="left" vertical="center" wrapText="1"/>
    </xf>
    <xf numFmtId="0" fontId="88" fillId="0" borderId="0">
      <alignment horizontal="left" vertical="center"/>
    </xf>
    <xf numFmtId="0" fontId="89" fillId="0" borderId="0">
      <alignment horizontal="left" vertical="center"/>
    </xf>
    <xf numFmtId="0" fontId="90" fillId="0" borderId="0">
      <alignment horizontal="center" vertical="center" wrapText="1"/>
    </xf>
    <xf numFmtId="0" fontId="90" fillId="0" borderId="0">
      <alignment horizontal="center" vertical="center" wrapText="1"/>
    </xf>
    <xf numFmtId="0" fontId="88" fillId="0" borderId="0">
      <alignment horizontal="center" vertical="center"/>
    </xf>
    <xf numFmtId="0" fontId="88" fillId="0" borderId="79">
      <alignment horizontal="center" vertical="center"/>
    </xf>
    <xf numFmtId="0" fontId="88" fillId="0" borderId="0"/>
    <xf numFmtId="0" fontId="90" fillId="0" borderId="80">
      <alignment horizontal="center" vertical="center" wrapText="1"/>
    </xf>
    <xf numFmtId="0" fontId="89" fillId="0" borderId="81">
      <alignment horizontal="center" vertical="center"/>
    </xf>
    <xf numFmtId="0" fontId="88" fillId="0" borderId="82"/>
    <xf numFmtId="0" fontId="90" fillId="0" borderId="0">
      <alignment horizontal="left" vertical="center" wrapText="1"/>
    </xf>
    <xf numFmtId="0" fontId="89" fillId="0" borderId="0">
      <alignment horizontal="center" vertical="center"/>
    </xf>
    <xf numFmtId="49" fontId="88" fillId="0" borderId="0">
      <alignment horizontal="center" vertical="center" wrapText="1"/>
    </xf>
    <xf numFmtId="0" fontId="89" fillId="0" borderId="83">
      <alignment horizontal="center" vertical="center"/>
    </xf>
    <xf numFmtId="49" fontId="88" fillId="0" borderId="84">
      <alignment horizontal="center" vertical="center" wrapText="1"/>
    </xf>
    <xf numFmtId="0" fontId="88" fillId="0" borderId="85"/>
    <xf numFmtId="0" fontId="88" fillId="0" borderId="0">
      <alignment horizontal="center"/>
    </xf>
    <xf numFmtId="14" fontId="89" fillId="0" borderId="86">
      <alignment horizontal="center"/>
    </xf>
    <xf numFmtId="0" fontId="89" fillId="0" borderId="0">
      <alignment horizontal="left" vertical="center"/>
    </xf>
    <xf numFmtId="0" fontId="88" fillId="0" borderId="79">
      <alignment horizontal="left" wrapText="1"/>
    </xf>
    <xf numFmtId="0" fontId="89" fillId="0" borderId="80">
      <alignment horizontal="center" vertical="center"/>
    </xf>
    <xf numFmtId="0" fontId="89" fillId="0" borderId="77">
      <alignment horizontal="center"/>
    </xf>
    <xf numFmtId="49" fontId="91" fillId="0" borderId="0">
      <alignment horizontal="center" vertical="center" wrapText="1"/>
    </xf>
    <xf numFmtId="0" fontId="88" fillId="0" borderId="87">
      <alignment horizontal="left" wrapText="1"/>
    </xf>
    <xf numFmtId="0" fontId="89" fillId="0" borderId="86">
      <alignment horizontal="center"/>
    </xf>
    <xf numFmtId="0" fontId="88" fillId="0" borderId="88">
      <alignment horizontal="center" vertical="center"/>
    </xf>
    <xf numFmtId="0" fontId="89" fillId="0" borderId="88">
      <alignment horizontal="center" vertical="center"/>
    </xf>
    <xf numFmtId="0" fontId="88" fillId="0" borderId="88">
      <alignment horizontal="center" vertical="center"/>
    </xf>
    <xf numFmtId="0" fontId="88" fillId="0" borderId="86">
      <alignment horizontal="center" vertical="center"/>
    </xf>
    <xf numFmtId="0" fontId="89" fillId="0" borderId="0">
      <alignment horizontal="center" vertical="center"/>
    </xf>
    <xf numFmtId="0" fontId="88" fillId="0" borderId="0">
      <alignment horizontal="center" vertical="center"/>
    </xf>
    <xf numFmtId="0" fontId="88" fillId="0" borderId="89">
      <alignment horizontal="center" vertical="center"/>
    </xf>
    <xf numFmtId="0" fontId="89" fillId="0" borderId="77">
      <alignment horizontal="center" vertical="center" wrapText="1"/>
    </xf>
    <xf numFmtId="0" fontId="89" fillId="0" borderId="77">
      <alignment horizontal="center" vertical="center" wrapText="1"/>
    </xf>
    <xf numFmtId="49" fontId="89" fillId="0" borderId="77">
      <alignment horizontal="center" vertical="center" wrapText="1"/>
    </xf>
    <xf numFmtId="49" fontId="92" fillId="0" borderId="77">
      <alignment horizontal="center" vertical="center" wrapText="1"/>
    </xf>
    <xf numFmtId="0" fontId="92" fillId="0" borderId="77">
      <alignment horizontal="center" vertical="center" wrapText="1"/>
    </xf>
    <xf numFmtId="0" fontId="89" fillId="0" borderId="77">
      <alignment horizontal="center" vertical="center" wrapText="1"/>
    </xf>
    <xf numFmtId="0" fontId="88" fillId="0" borderId="77">
      <alignment horizontal="center" vertical="center"/>
    </xf>
    <xf numFmtId="49" fontId="92" fillId="0" borderId="77">
      <alignment horizontal="center" vertical="center" wrapText="1"/>
    </xf>
    <xf numFmtId="0" fontId="89" fillId="0" borderId="77">
      <alignment horizontal="center" vertical="center"/>
    </xf>
    <xf numFmtId="0" fontId="88" fillId="0" borderId="91"/>
    <xf numFmtId="49" fontId="91" fillId="0" borderId="77">
      <alignment horizontal="center" vertical="center"/>
    </xf>
    <xf numFmtId="49" fontId="91" fillId="0" borderId="77">
      <alignment horizontal="center" vertical="center" wrapText="1"/>
    </xf>
    <xf numFmtId="4" fontId="88" fillId="0" borderId="77">
      <alignment horizontal="center" vertical="center" shrinkToFit="1"/>
    </xf>
    <xf numFmtId="4" fontId="93" fillId="0" borderId="77">
      <alignment horizontal="center" vertical="center" shrinkToFit="1"/>
    </xf>
    <xf numFmtId="0" fontId="94" fillId="0" borderId="82">
      <alignment wrapText="1"/>
    </xf>
    <xf numFmtId="49" fontId="91" fillId="0" borderId="96">
      <alignment horizontal="center" vertical="center" wrapText="1"/>
    </xf>
    <xf numFmtId="49" fontId="89" fillId="0" borderId="96">
      <alignment horizontal="center" vertical="center"/>
    </xf>
    <xf numFmtId="4" fontId="88" fillId="0" borderId="96">
      <alignment horizontal="center" vertical="center" shrinkToFit="1"/>
    </xf>
    <xf numFmtId="4" fontId="89" fillId="0" borderId="96">
      <alignment horizontal="center" vertical="center" shrinkToFit="1"/>
    </xf>
    <xf numFmtId="4" fontId="93" fillId="0" borderId="96">
      <alignment horizontal="center" vertical="center" shrinkToFit="1"/>
    </xf>
    <xf numFmtId="49" fontId="89" fillId="0" borderId="99">
      <alignment horizontal="center" vertical="center"/>
    </xf>
    <xf numFmtId="4" fontId="88" fillId="0" borderId="99">
      <alignment horizontal="center" vertical="center" shrinkToFit="1"/>
    </xf>
    <xf numFmtId="4" fontId="93" fillId="0" borderId="99">
      <alignment horizontal="center" vertical="center" shrinkToFit="1"/>
    </xf>
    <xf numFmtId="49" fontId="89" fillId="0" borderId="77">
      <alignment horizontal="center" vertical="center"/>
    </xf>
    <xf numFmtId="49" fontId="89" fillId="0" borderId="99">
      <alignment horizontal="center" vertical="center" wrapText="1"/>
    </xf>
    <xf numFmtId="49" fontId="89" fillId="0" borderId="77">
      <alignment horizontal="center" vertical="center" wrapText="1"/>
    </xf>
    <xf numFmtId="0" fontId="88" fillId="0" borderId="97"/>
    <xf numFmtId="0" fontId="88" fillId="0" borderId="100"/>
    <xf numFmtId="49" fontId="89" fillId="0" borderId="96">
      <alignment horizontal="left" vertical="center"/>
    </xf>
    <xf numFmtId="4" fontId="88" fillId="0" borderId="97">
      <alignment shrinkToFit="1"/>
    </xf>
    <xf numFmtId="4" fontId="88" fillId="0" borderId="100">
      <alignment shrinkToFit="1"/>
    </xf>
    <xf numFmtId="4" fontId="88" fillId="0" borderId="96">
      <alignment horizontal="left" vertical="center" shrinkToFit="1"/>
    </xf>
    <xf numFmtId="4" fontId="89" fillId="0" borderId="96">
      <alignment horizontal="left" vertical="center" shrinkToFit="1"/>
    </xf>
    <xf numFmtId="4" fontId="88" fillId="0" borderId="88">
      <alignment shrinkToFit="1"/>
    </xf>
    <xf numFmtId="4" fontId="88" fillId="0" borderId="97">
      <alignment horizontal="center" vertical="center" shrinkToFit="1"/>
    </xf>
    <xf numFmtId="4" fontId="88" fillId="0" borderId="100">
      <alignment horizontal="center" vertical="center" shrinkToFit="1"/>
    </xf>
    <xf numFmtId="4" fontId="88" fillId="0" borderId="88">
      <alignment horizontal="center" vertical="center" shrinkToFit="1"/>
    </xf>
    <xf numFmtId="4" fontId="88" fillId="0" borderId="99">
      <alignment horizontal="left" vertical="center" shrinkToFit="1"/>
    </xf>
    <xf numFmtId="0" fontId="89" fillId="0" borderId="96">
      <alignment horizontal="center" vertical="center"/>
    </xf>
    <xf numFmtId="0" fontId="89" fillId="0" borderId="99">
      <alignment horizontal="center" vertical="center"/>
    </xf>
    <xf numFmtId="4" fontId="95" fillId="0" borderId="77">
      <alignment horizontal="center" vertical="center" wrapText="1"/>
    </xf>
    <xf numFmtId="49" fontId="89" fillId="0" borderId="94">
      <alignment horizontal="left" vertical="center" wrapText="1" indent="1"/>
    </xf>
    <xf numFmtId="49" fontId="89" fillId="0" borderId="96">
      <alignment horizontal="center" vertical="center" wrapText="1"/>
    </xf>
    <xf numFmtId="4" fontId="95" fillId="0" borderId="96">
      <alignment horizontal="center" vertical="center" wrapText="1"/>
    </xf>
    <xf numFmtId="49" fontId="91" fillId="0" borderId="94">
      <alignment vertical="center" wrapText="1"/>
    </xf>
    <xf numFmtId="49" fontId="91" fillId="0" borderId="96">
      <alignment horizontal="center" vertical="center"/>
    </xf>
    <xf numFmtId="0" fontId="88" fillId="0" borderId="77">
      <alignment horizontal="center" vertical="center" shrinkToFit="1"/>
    </xf>
    <xf numFmtId="0" fontId="93" fillId="0" borderId="77">
      <alignment horizontal="center" vertical="center" shrinkToFit="1"/>
    </xf>
    <xf numFmtId="0" fontId="88" fillId="0" borderId="96">
      <alignment horizontal="center" vertical="center" shrinkToFit="1"/>
    </xf>
    <xf numFmtId="0" fontId="93" fillId="0" borderId="96">
      <alignment horizontal="center" vertical="center" shrinkToFit="1"/>
    </xf>
    <xf numFmtId="0" fontId="88" fillId="0" borderId="99">
      <alignment horizontal="center" vertical="center" shrinkToFit="1"/>
    </xf>
    <xf numFmtId="0" fontId="93" fillId="0" borderId="99">
      <alignment horizontal="center" vertical="center" shrinkToFit="1"/>
    </xf>
  </cellStyleXfs>
  <cellXfs count="2774">
    <xf numFmtId="0" fontId="0" fillId="0" borderId="0" xfId="0"/>
    <xf numFmtId="0" fontId="0" fillId="0" borderId="0" xfId="0" applyAlignment="1"/>
    <xf numFmtId="0" fontId="0" fillId="0" borderId="0" xfId="0" applyAlignment="1">
      <alignment wrapText="1"/>
    </xf>
    <xf numFmtId="4" fontId="0" fillId="0" borderId="0" xfId="0" applyNumberFormat="1" applyAlignment="1"/>
    <xf numFmtId="0" fontId="2" fillId="0" borderId="0" xfId="0" applyFont="1"/>
    <xf numFmtId="0" fontId="2" fillId="0" borderId="0" xfId="3" applyFont="1" applyAlignment="1"/>
    <xf numFmtId="4" fontId="2" fillId="0" borderId="0" xfId="3" applyNumberFormat="1" applyFont="1" applyAlignment="1"/>
    <xf numFmtId="0" fontId="0" fillId="0" borderId="0" xfId="0" applyBorder="1"/>
    <xf numFmtId="4" fontId="0" fillId="0" borderId="1" xfId="0" applyNumberFormat="1" applyBorder="1"/>
    <xf numFmtId="0" fontId="2" fillId="0" borderId="1" xfId="0" applyFont="1" applyBorder="1" applyAlignment="1">
      <alignment wrapText="1"/>
    </xf>
    <xf numFmtId="4" fontId="0" fillId="0" borderId="0" xfId="0" applyNumberFormat="1"/>
    <xf numFmtId="0" fontId="0" fillId="0" borderId="2" xfId="0" applyBorder="1" applyAlignment="1">
      <alignment wrapText="1"/>
    </xf>
    <xf numFmtId="0" fontId="0" fillId="0" borderId="1" xfId="0" applyBorder="1"/>
    <xf numFmtId="4" fontId="0" fillId="0" borderId="0" xfId="0" applyNumberFormat="1" applyBorder="1" applyAlignment="1"/>
    <xf numFmtId="4" fontId="2" fillId="0" borderId="0" xfId="0" applyNumberFormat="1" applyFont="1" applyAlignment="1"/>
    <xf numFmtId="0" fontId="0" fillId="0" borderId="3" xfId="0" applyBorder="1"/>
    <xf numFmtId="0" fontId="0" fillId="0" borderId="2" xfId="0" applyBorder="1"/>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0" xfId="0" applyFont="1" applyAlignment="1">
      <alignment horizontal="center"/>
    </xf>
    <xf numFmtId="0" fontId="4" fillId="0" borderId="0" xfId="0" applyFont="1"/>
    <xf numFmtId="0" fontId="4" fillId="0" borderId="7" xfId="0" applyFont="1" applyBorder="1" applyAlignment="1">
      <alignment horizontal="center" vertical="center"/>
    </xf>
    <xf numFmtId="0" fontId="4" fillId="0" borderId="0" xfId="0" applyFont="1" applyBorder="1"/>
    <xf numFmtId="0" fontId="1" fillId="0" borderId="0" xfId="0" applyFont="1"/>
    <xf numFmtId="49" fontId="0" fillId="0" borderId="0" xfId="0" applyNumberFormat="1"/>
    <xf numFmtId="49" fontId="0" fillId="0" borderId="0" xfId="0" applyNumberFormat="1" applyBorder="1"/>
    <xf numFmtId="49" fontId="8" fillId="2" borderId="8" xfId="0" applyNumberFormat="1" applyFont="1" applyFill="1" applyBorder="1" applyAlignment="1"/>
    <xf numFmtId="49" fontId="19" fillId="3" borderId="1" xfId="3" applyNumberFormat="1" applyFont="1" applyFill="1" applyBorder="1" applyAlignment="1"/>
    <xf numFmtId="49" fontId="20" fillId="0" borderId="3" xfId="0" applyNumberFormat="1" applyFont="1" applyBorder="1"/>
    <xf numFmtId="49" fontId="21" fillId="3" borderId="1" xfId="3" applyNumberFormat="1" applyFont="1" applyFill="1" applyBorder="1" applyAlignment="1"/>
    <xf numFmtId="49" fontId="18" fillId="0" borderId="1" xfId="0" applyNumberFormat="1" applyFont="1" applyBorder="1" applyAlignment="1"/>
    <xf numFmtId="49" fontId="18" fillId="0" borderId="7" xfId="0" applyNumberFormat="1" applyFont="1" applyBorder="1" applyAlignment="1"/>
    <xf numFmtId="49" fontId="8" fillId="0" borderId="8" xfId="0" applyNumberFormat="1" applyFont="1" applyBorder="1" applyAlignment="1"/>
    <xf numFmtId="49" fontId="18" fillId="0" borderId="9" xfId="0" applyNumberFormat="1" applyFont="1" applyBorder="1" applyAlignment="1"/>
    <xf numFmtId="49" fontId="8" fillId="0" borderId="10" xfId="0" applyNumberFormat="1" applyFont="1" applyBorder="1" applyAlignment="1"/>
    <xf numFmtId="49" fontId="18" fillId="0" borderId="11" xfId="0" applyNumberFormat="1" applyFont="1" applyBorder="1" applyAlignment="1"/>
    <xf numFmtId="49" fontId="22" fillId="2" borderId="8" xfId="0" applyNumberFormat="1" applyFont="1" applyFill="1" applyBorder="1" applyAlignment="1"/>
    <xf numFmtId="49" fontId="18" fillId="0" borderId="12" xfId="0" applyNumberFormat="1" applyFont="1" applyBorder="1" applyAlignment="1"/>
    <xf numFmtId="49" fontId="18" fillId="0" borderId="8" xfId="0" applyNumberFormat="1" applyFont="1" applyBorder="1" applyAlignment="1"/>
    <xf numFmtId="49" fontId="18" fillId="0" borderId="13" xfId="0" applyNumberFormat="1" applyFont="1" applyBorder="1" applyAlignment="1"/>
    <xf numFmtId="49" fontId="18" fillId="0" borderId="14" xfId="0" applyNumberFormat="1" applyFont="1" applyBorder="1" applyAlignment="1"/>
    <xf numFmtId="49" fontId="20" fillId="0" borderId="15" xfId="0" applyNumberFormat="1" applyFont="1" applyBorder="1" applyAlignment="1"/>
    <xf numFmtId="49" fontId="20" fillId="0" borderId="1" xfId="0" applyNumberFormat="1" applyFont="1" applyBorder="1" applyAlignment="1"/>
    <xf numFmtId="0" fontId="0" fillId="0" borderId="7" xfId="0" applyBorder="1"/>
    <xf numFmtId="0" fontId="0" fillId="0" borderId="1" xfId="0" applyBorder="1" applyAlignment="1">
      <alignment wrapText="1"/>
    </xf>
    <xf numFmtId="0" fontId="8" fillId="2" borderId="18" xfId="0" applyFont="1" applyFill="1" applyBorder="1" applyAlignment="1">
      <alignment wrapText="1"/>
    </xf>
    <xf numFmtId="49" fontId="21" fillId="0" borderId="8" xfId="0" applyNumberFormat="1" applyFont="1" applyBorder="1" applyAlignment="1"/>
    <xf numFmtId="0" fontId="2" fillId="0" borderId="8" xfId="0" applyFont="1" applyBorder="1"/>
    <xf numFmtId="49" fontId="18" fillId="0" borderId="19" xfId="0" applyNumberFormat="1" applyFont="1" applyBorder="1" applyAlignment="1"/>
    <xf numFmtId="49" fontId="3" fillId="0" borderId="1" xfId="3" applyNumberFormat="1" applyFont="1" applyBorder="1" applyAlignment="1">
      <alignment horizontal="center" vertical="top" wrapText="1"/>
    </xf>
    <xf numFmtId="4" fontId="3" fillId="0" borderId="1" xfId="3" applyNumberFormat="1" applyFont="1" applyBorder="1" applyAlignment="1">
      <alignment horizontal="center" vertical="top" wrapText="1"/>
    </xf>
    <xf numFmtId="4" fontId="3" fillId="4" borderId="1" xfId="3" applyNumberFormat="1" applyFont="1" applyFill="1" applyBorder="1" applyAlignment="1">
      <alignment horizontal="center" vertical="top" wrapText="1"/>
    </xf>
    <xf numFmtId="49" fontId="3" fillId="0" borderId="9" xfId="3" applyNumberFormat="1" applyFont="1" applyBorder="1" applyAlignment="1">
      <alignment horizontal="center" wrapText="1"/>
    </xf>
    <xf numFmtId="49" fontId="20" fillId="0" borderId="3" xfId="3" applyNumberFormat="1" applyFont="1" applyBorder="1" applyAlignment="1"/>
    <xf numFmtId="49" fontId="21" fillId="3" borderId="3" xfId="3" applyNumberFormat="1" applyFont="1" applyFill="1" applyBorder="1" applyAlignment="1"/>
    <xf numFmtId="3" fontId="3" fillId="0" borderId="1" xfId="3" applyNumberFormat="1" applyFont="1" applyBorder="1" applyAlignment="1">
      <alignment horizontal="center" vertical="top" wrapText="1"/>
    </xf>
    <xf numFmtId="3" fontId="3" fillId="4" borderId="1" xfId="3" applyNumberFormat="1" applyFont="1" applyFill="1" applyBorder="1" applyAlignment="1">
      <alignment horizontal="center" vertical="top" wrapText="1"/>
    </xf>
    <xf numFmtId="44" fontId="18" fillId="0" borderId="1" xfId="1" applyFont="1" applyBorder="1" applyAlignment="1"/>
    <xf numFmtId="4" fontId="1" fillId="5" borderId="3" xfId="0" applyNumberFormat="1" applyFont="1" applyFill="1" applyBorder="1"/>
    <xf numFmtId="49" fontId="8" fillId="6" borderId="8" xfId="0" applyNumberFormat="1" applyFont="1" applyFill="1" applyBorder="1" applyAlignment="1"/>
    <xf numFmtId="49" fontId="13" fillId="0" borderId="1" xfId="5" applyNumberFormat="1" applyFont="1" applyBorder="1" applyAlignment="1"/>
    <xf numFmtId="49" fontId="8" fillId="6" borderId="20" xfId="0" applyNumberFormat="1" applyFont="1" applyFill="1" applyBorder="1" applyAlignment="1"/>
    <xf numFmtId="49" fontId="23" fillId="7" borderId="11" xfId="0" applyNumberFormat="1" applyFont="1" applyFill="1" applyBorder="1" applyAlignment="1"/>
    <xf numFmtId="0" fontId="1" fillId="0" borderId="0" xfId="5" applyFont="1" applyFill="1" applyBorder="1" applyAlignment="1">
      <alignment wrapText="1"/>
    </xf>
    <xf numFmtId="4" fontId="6" fillId="0" borderId="0" xfId="0" applyNumberFormat="1" applyFont="1"/>
    <xf numFmtId="0" fontId="2" fillId="0" borderId="21" xfId="0" applyFont="1" applyBorder="1" applyAlignment="1">
      <alignment horizontal="center"/>
    </xf>
    <xf numFmtId="49" fontId="2" fillId="0" borderId="22" xfId="0" applyNumberFormat="1" applyFont="1" applyBorder="1" applyAlignment="1">
      <alignment horizontal="center"/>
    </xf>
    <xf numFmtId="14" fontId="2" fillId="0" borderId="22" xfId="0" applyNumberFormat="1" applyFont="1" applyBorder="1" applyAlignment="1">
      <alignment horizontal="center"/>
    </xf>
    <xf numFmtId="0" fontId="0" fillId="0" borderId="22" xfId="0" applyBorder="1"/>
    <xf numFmtId="0" fontId="2" fillId="0" borderId="23" xfId="0" applyFont="1" applyBorder="1" applyAlignment="1">
      <alignment horizontal="center"/>
    </xf>
    <xf numFmtId="0" fontId="2" fillId="0" borderId="0" xfId="0" applyFont="1" applyAlignment="1">
      <alignment horizontal="right"/>
    </xf>
    <xf numFmtId="0" fontId="2" fillId="0" borderId="0" xfId="0" applyFont="1" applyBorder="1" applyAlignment="1">
      <alignment wrapText="1"/>
    </xf>
    <xf numFmtId="0" fontId="0" fillId="0" borderId="0" xfId="0" applyBorder="1" applyAlignment="1">
      <alignment wrapText="1"/>
    </xf>
    <xf numFmtId="4" fontId="1" fillId="0" borderId="0" xfId="0" applyNumberFormat="1" applyFont="1" applyBorder="1" applyAlignment="1"/>
    <xf numFmtId="4" fontId="6" fillId="0" borderId="0" xfId="0" applyNumberFormat="1" applyFont="1" applyBorder="1" applyAlignment="1"/>
    <xf numFmtId="4" fontId="2" fillId="0" borderId="0" xfId="0" applyNumberFormat="1" applyFont="1" applyBorder="1" applyAlignment="1"/>
    <xf numFmtId="0" fontId="18" fillId="0" borderId="2" xfId="3" applyFont="1" applyBorder="1" applyAlignment="1"/>
    <xf numFmtId="4" fontId="25" fillId="3" borderId="1" xfId="0" applyNumberFormat="1" applyFont="1" applyFill="1" applyBorder="1"/>
    <xf numFmtId="4" fontId="26" fillId="3" borderId="1" xfId="3" applyNumberFormat="1" applyFont="1" applyFill="1" applyBorder="1" applyAlignment="1"/>
    <xf numFmtId="4" fontId="25" fillId="0" borderId="1" xfId="0" applyNumberFormat="1" applyFont="1" applyBorder="1"/>
    <xf numFmtId="4" fontId="27" fillId="0" borderId="1" xfId="3" applyNumberFormat="1" applyFont="1" applyBorder="1" applyAlignment="1"/>
    <xf numFmtId="4" fontId="27" fillId="4" borderId="1" xfId="3" applyNumberFormat="1" applyFont="1" applyFill="1" applyBorder="1" applyAlignment="1"/>
    <xf numFmtId="4" fontId="25" fillId="3" borderId="1" xfId="3" applyNumberFormat="1" applyFont="1" applyFill="1" applyBorder="1" applyAlignment="1"/>
    <xf numFmtId="4" fontId="27" fillId="0" borderId="7" xfId="3" applyNumberFormat="1" applyFont="1" applyBorder="1" applyAlignment="1"/>
    <xf numFmtId="4" fontId="27" fillId="4" borderId="7" xfId="3" applyNumberFormat="1" applyFont="1" applyFill="1" applyBorder="1" applyAlignment="1"/>
    <xf numFmtId="4" fontId="26" fillId="3" borderId="24" xfId="3" applyNumberFormat="1" applyFont="1" applyFill="1" applyBorder="1" applyAlignment="1"/>
    <xf numFmtId="4" fontId="25" fillId="7" borderId="1" xfId="0" applyNumberFormat="1" applyFont="1" applyFill="1" applyBorder="1"/>
    <xf numFmtId="4" fontId="26" fillId="7" borderId="1" xfId="3" applyNumberFormat="1" applyFont="1" applyFill="1" applyBorder="1" applyAlignment="1"/>
    <xf numFmtId="4" fontId="26" fillId="7" borderId="16" xfId="3" applyNumberFormat="1" applyFont="1" applyFill="1" applyBorder="1" applyAlignment="1"/>
    <xf numFmtId="49" fontId="25" fillId="0" borderId="1" xfId="3" applyNumberFormat="1" applyFont="1" applyBorder="1" applyAlignment="1">
      <alignment horizontal="center" vertical="top" wrapText="1"/>
    </xf>
    <xf numFmtId="4" fontId="25" fillId="0" borderId="1" xfId="3" applyNumberFormat="1" applyFont="1" applyBorder="1" applyAlignment="1">
      <alignment horizontal="center" vertical="top" wrapText="1"/>
    </xf>
    <xf numFmtId="4" fontId="25" fillId="4" borderId="1" xfId="3" applyNumberFormat="1" applyFont="1" applyFill="1" applyBorder="1" applyAlignment="1">
      <alignment horizontal="center" vertical="top" wrapText="1"/>
    </xf>
    <xf numFmtId="4" fontId="25" fillId="6" borderId="25" xfId="0" applyNumberFormat="1" applyFont="1" applyFill="1" applyBorder="1"/>
    <xf numFmtId="4" fontId="25" fillId="6" borderId="26" xfId="0" applyNumberFormat="1" applyFont="1" applyFill="1" applyBorder="1" applyAlignment="1"/>
    <xf numFmtId="4" fontId="25" fillId="0" borderId="27" xfId="0" applyNumberFormat="1" applyFont="1" applyFill="1" applyBorder="1"/>
    <xf numFmtId="4" fontId="27" fillId="0" borderId="9" xfId="0" applyNumberFormat="1" applyFont="1" applyBorder="1" applyAlignment="1"/>
    <xf numFmtId="4" fontId="27" fillId="4" borderId="9" xfId="0" applyNumberFormat="1" applyFont="1" applyFill="1" applyBorder="1" applyAlignment="1"/>
    <xf numFmtId="4" fontId="25" fillId="0" borderId="1" xfId="0" applyNumberFormat="1" applyFont="1" applyFill="1" applyBorder="1"/>
    <xf numFmtId="4" fontId="27" fillId="0" borderId="1" xfId="0" applyNumberFormat="1" applyFont="1" applyBorder="1" applyAlignment="1"/>
    <xf numFmtId="4" fontId="27" fillId="4" borderId="1" xfId="0" applyNumberFormat="1" applyFont="1" applyFill="1" applyBorder="1" applyAlignment="1"/>
    <xf numFmtId="4" fontId="25" fillId="0" borderId="28" xfId="0" applyNumberFormat="1" applyFont="1" applyFill="1" applyBorder="1"/>
    <xf numFmtId="4" fontId="27" fillId="0" borderId="7" xfId="0" applyNumberFormat="1" applyFont="1" applyBorder="1" applyAlignment="1"/>
    <xf numFmtId="4" fontId="27" fillId="4" borderId="7" xfId="0" applyNumberFormat="1" applyFont="1" applyFill="1" applyBorder="1" applyAlignment="1"/>
    <xf numFmtId="4" fontId="25" fillId="0" borderId="25" xfId="0" applyNumberFormat="1" applyFont="1" applyFill="1" applyBorder="1"/>
    <xf numFmtId="4" fontId="25" fillId="0" borderId="29" xfId="0" applyNumberFormat="1" applyFont="1" applyBorder="1" applyAlignment="1"/>
    <xf numFmtId="4" fontId="25" fillId="4" borderId="29" xfId="0" applyNumberFormat="1" applyFont="1" applyFill="1" applyBorder="1" applyAlignment="1"/>
    <xf numFmtId="4" fontId="25" fillId="0" borderId="29" xfId="4" applyNumberFormat="1" applyFont="1" applyBorder="1"/>
    <xf numFmtId="4" fontId="25" fillId="4" borderId="26" xfId="4" applyNumberFormat="1" applyFont="1" applyFill="1" applyBorder="1"/>
    <xf numFmtId="4" fontId="27" fillId="0" borderId="9" xfId="4" applyNumberFormat="1" applyFont="1" applyBorder="1"/>
    <xf numFmtId="4" fontId="27" fillId="4" borderId="9" xfId="4" applyNumberFormat="1" applyFont="1" applyFill="1" applyBorder="1"/>
    <xf numFmtId="4" fontId="27" fillId="0" borderId="1" xfId="4" applyNumberFormat="1" applyFont="1" applyBorder="1"/>
    <xf numFmtId="4" fontId="27" fillId="4" borderId="1" xfId="4" applyNumberFormat="1" applyFont="1" applyFill="1" applyBorder="1"/>
    <xf numFmtId="4" fontId="25" fillId="0" borderId="0" xfId="0" applyNumberFormat="1" applyFont="1" applyFill="1" applyBorder="1"/>
    <xf numFmtId="4" fontId="27" fillId="4" borderId="11" xfId="0" applyNumberFormat="1" applyFont="1" applyFill="1" applyBorder="1" applyAlignment="1"/>
    <xf numFmtId="4" fontId="27" fillId="0" borderId="7" xfId="4" applyNumberFormat="1" applyFont="1" applyBorder="1"/>
    <xf numFmtId="4" fontId="27" fillId="4" borderId="7" xfId="4" applyNumberFormat="1" applyFont="1" applyFill="1" applyBorder="1"/>
    <xf numFmtId="4" fontId="27" fillId="0" borderId="29" xfId="0" applyNumberFormat="1" applyFont="1" applyBorder="1" applyAlignment="1"/>
    <xf numFmtId="4" fontId="27" fillId="4" borderId="29" xfId="0" applyNumberFormat="1" applyFont="1" applyFill="1" applyBorder="1" applyAlignment="1"/>
    <xf numFmtId="4" fontId="27" fillId="0" borderId="29" xfId="4" applyNumberFormat="1" applyFont="1" applyBorder="1"/>
    <xf numFmtId="4" fontId="27" fillId="4" borderId="26" xfId="4" applyNumberFormat="1" applyFont="1" applyFill="1" applyBorder="1"/>
    <xf numFmtId="4" fontId="27" fillId="0" borderId="11" xfId="0" applyNumberFormat="1" applyFont="1" applyBorder="1" applyAlignment="1"/>
    <xf numFmtId="4" fontId="27" fillId="0" borderId="11" xfId="4" applyNumberFormat="1" applyFont="1" applyBorder="1"/>
    <xf numFmtId="4" fontId="27" fillId="4" borderId="19" xfId="4" applyNumberFormat="1" applyFont="1" applyFill="1" applyBorder="1"/>
    <xf numFmtId="4" fontId="25" fillId="4" borderId="11" xfId="0" applyNumberFormat="1" applyFont="1" applyFill="1" applyBorder="1" applyAlignment="1"/>
    <xf numFmtId="4" fontId="25" fillId="4" borderId="19" xfId="4" applyNumberFormat="1" applyFont="1" applyFill="1" applyBorder="1"/>
    <xf numFmtId="4" fontId="25" fillId="4" borderId="1" xfId="0" applyNumberFormat="1" applyFont="1" applyFill="1" applyBorder="1" applyAlignment="1"/>
    <xf numFmtId="4" fontId="25" fillId="4" borderId="1" xfId="4" applyNumberFormat="1" applyFont="1" applyFill="1" applyBorder="1"/>
    <xf numFmtId="4" fontId="25" fillId="4" borderId="26" xfId="0" applyNumberFormat="1" applyFont="1" applyFill="1" applyBorder="1" applyAlignment="1"/>
    <xf numFmtId="4" fontId="25" fillId="0" borderId="29" xfId="0" applyNumberFormat="1" applyFont="1" applyFill="1" applyBorder="1" applyAlignment="1"/>
    <xf numFmtId="4" fontId="27" fillId="0" borderId="11" xfId="0" applyNumberFormat="1" applyFont="1" applyFill="1" applyBorder="1" applyAlignment="1"/>
    <xf numFmtId="4" fontId="27" fillId="4" borderId="11" xfId="4" applyNumberFormat="1" applyFont="1" applyFill="1" applyBorder="1"/>
    <xf numFmtId="4" fontId="27" fillId="4" borderId="4" xfId="0" applyNumberFormat="1" applyFont="1" applyFill="1" applyBorder="1" applyAlignment="1"/>
    <xf numFmtId="4" fontId="27" fillId="4" borderId="5" xfId="0" applyNumberFormat="1" applyFont="1" applyFill="1" applyBorder="1" applyAlignment="1"/>
    <xf numFmtId="4" fontId="27" fillId="4" borderId="6" xfId="0" applyNumberFormat="1" applyFont="1" applyFill="1" applyBorder="1" applyAlignment="1"/>
    <xf numFmtId="4" fontId="25" fillId="2" borderId="25" xfId="0" applyNumberFormat="1" applyFont="1" applyFill="1" applyBorder="1"/>
    <xf numFmtId="4" fontId="28" fillId="2" borderId="29" xfId="0" applyNumberFormat="1" applyFont="1" applyFill="1" applyBorder="1" applyAlignment="1"/>
    <xf numFmtId="4" fontId="28" fillId="2" borderId="29" xfId="4" applyNumberFormat="1" applyFont="1" applyFill="1" applyBorder="1"/>
    <xf numFmtId="4" fontId="28" fillId="2" borderId="30" xfId="0" applyNumberFormat="1" applyFont="1" applyFill="1" applyBorder="1" applyAlignment="1"/>
    <xf numFmtId="4" fontId="27" fillId="0" borderId="3" xfId="4" applyNumberFormat="1" applyFont="1" applyBorder="1"/>
    <xf numFmtId="4" fontId="25" fillId="2" borderId="29" xfId="0" applyNumberFormat="1" applyFont="1" applyFill="1" applyBorder="1" applyAlignment="1"/>
    <xf numFmtId="4" fontId="25" fillId="2" borderId="26" xfId="0" applyNumberFormat="1" applyFont="1" applyFill="1" applyBorder="1" applyAlignment="1"/>
    <xf numFmtId="4" fontId="28" fillId="0" borderId="29" xfId="0" applyNumberFormat="1" applyFont="1" applyBorder="1" applyAlignment="1"/>
    <xf numFmtId="4" fontId="26" fillId="4" borderId="29" xfId="0" applyNumberFormat="1" applyFont="1" applyFill="1" applyBorder="1" applyAlignment="1"/>
    <xf numFmtId="4" fontId="26" fillId="4" borderId="26" xfId="4" applyNumberFormat="1" applyFont="1" applyFill="1" applyBorder="1"/>
    <xf numFmtId="4" fontId="27" fillId="4" borderId="31" xfId="0" applyNumberFormat="1" applyFont="1" applyFill="1" applyBorder="1" applyAlignment="1"/>
    <xf numFmtId="4" fontId="27" fillId="4" borderId="32" xfId="0" applyNumberFormat="1" applyFont="1" applyFill="1" applyBorder="1" applyAlignment="1"/>
    <xf numFmtId="4" fontId="27" fillId="4" borderId="16" xfId="0" applyNumberFormat="1" applyFont="1" applyFill="1" applyBorder="1" applyAlignment="1"/>
    <xf numFmtId="4" fontId="27" fillId="4" borderId="26" xfId="0" applyNumberFormat="1" applyFont="1" applyFill="1" applyBorder="1" applyAlignment="1"/>
    <xf numFmtId="4" fontId="25" fillId="0" borderId="7" xfId="0" applyNumberFormat="1" applyFont="1" applyFill="1" applyBorder="1"/>
    <xf numFmtId="4" fontId="25" fillId="0" borderId="29" xfId="0" applyNumberFormat="1" applyFont="1" applyFill="1" applyBorder="1"/>
    <xf numFmtId="4" fontId="25" fillId="0" borderId="9" xfId="0" applyNumberFormat="1" applyFont="1" applyFill="1" applyBorder="1"/>
    <xf numFmtId="4" fontId="27" fillId="4" borderId="33" xfId="0" applyNumberFormat="1" applyFont="1" applyFill="1" applyBorder="1" applyAlignment="1"/>
    <xf numFmtId="4" fontId="25" fillId="0" borderId="1" xfId="0" applyNumberFormat="1" applyFont="1" applyBorder="1" applyAlignment="1"/>
    <xf numFmtId="4" fontId="25" fillId="0" borderId="9" xfId="0" applyNumberFormat="1" applyFont="1" applyBorder="1" applyAlignment="1"/>
    <xf numFmtId="4" fontId="25" fillId="4" borderId="9" xfId="0" applyNumberFormat="1" applyFont="1" applyFill="1" applyBorder="1" applyAlignment="1"/>
    <xf numFmtId="4" fontId="27" fillId="0" borderId="19" xfId="0" applyNumberFormat="1" applyFont="1" applyBorder="1" applyAlignment="1"/>
    <xf numFmtId="4" fontId="25" fillId="4" borderId="19" xfId="0" applyNumberFormat="1" applyFont="1" applyFill="1" applyBorder="1" applyAlignment="1"/>
    <xf numFmtId="4" fontId="25" fillId="4" borderId="34" xfId="0" applyNumberFormat="1" applyFont="1" applyFill="1" applyBorder="1" applyAlignment="1"/>
    <xf numFmtId="4" fontId="27" fillId="4" borderId="30" xfId="0" applyNumberFormat="1" applyFont="1" applyFill="1" applyBorder="1" applyAlignment="1"/>
    <xf numFmtId="4" fontId="25" fillId="0" borderId="26" xfId="4" applyNumberFormat="1" applyFont="1" applyBorder="1"/>
    <xf numFmtId="4" fontId="25" fillId="0" borderId="24" xfId="0" applyNumberFormat="1" applyFont="1" applyFill="1" applyBorder="1"/>
    <xf numFmtId="4" fontId="27" fillId="4" borderId="13" xfId="0" applyNumberFormat="1" applyFont="1" applyFill="1" applyBorder="1" applyAlignment="1"/>
    <xf numFmtId="4" fontId="25" fillId="6" borderId="29" xfId="0" applyNumberFormat="1" applyFont="1" applyFill="1" applyBorder="1" applyAlignment="1"/>
    <xf numFmtId="4" fontId="25" fillId="6" borderId="29" xfId="4" applyNumberFormat="1" applyFont="1" applyFill="1" applyBorder="1"/>
    <xf numFmtId="4" fontId="25" fillId="6" borderId="26" xfId="4" applyNumberFormat="1" applyFont="1" applyFill="1" applyBorder="1"/>
    <xf numFmtId="4" fontId="27" fillId="0" borderId="11" xfId="4" applyNumberFormat="1" applyFont="1" applyFill="1" applyBorder="1"/>
    <xf numFmtId="4" fontId="27" fillId="0" borderId="1" xfId="4" applyNumberFormat="1" applyFont="1" applyFill="1" applyBorder="1"/>
    <xf numFmtId="4" fontId="25" fillId="4" borderId="30" xfId="0" applyNumberFormat="1" applyFont="1" applyFill="1" applyBorder="1" applyAlignment="1"/>
    <xf numFmtId="4" fontId="25" fillId="0" borderId="7" xfId="4" applyNumberFormat="1" applyFont="1" applyBorder="1"/>
    <xf numFmtId="4" fontId="25" fillId="4" borderId="7" xfId="4" applyNumberFormat="1" applyFont="1" applyFill="1" applyBorder="1"/>
    <xf numFmtId="4" fontId="25" fillId="6" borderId="35" xfId="0" applyNumberFormat="1" applyFont="1" applyFill="1" applyBorder="1" applyAlignment="1"/>
    <xf numFmtId="4" fontId="26" fillId="7" borderId="11" xfId="0" applyNumberFormat="1" applyFont="1" applyFill="1" applyBorder="1" applyAlignment="1"/>
    <xf numFmtId="4" fontId="27" fillId="4" borderId="3" xfId="0" applyNumberFormat="1" applyFont="1" applyFill="1" applyBorder="1" applyAlignment="1"/>
    <xf numFmtId="2" fontId="27" fillId="0" borderId="1" xfId="3" applyNumberFormat="1" applyFont="1" applyBorder="1" applyAlignment="1"/>
    <xf numFmtId="4" fontId="27" fillId="4" borderId="3" xfId="3" applyNumberFormat="1" applyFont="1" applyFill="1" applyBorder="1" applyAlignment="1"/>
    <xf numFmtId="4" fontId="25" fillId="0" borderId="1" xfId="3" applyNumberFormat="1" applyFont="1" applyBorder="1" applyAlignment="1"/>
    <xf numFmtId="4" fontId="25" fillId="4" borderId="3" xfId="3" applyNumberFormat="1" applyFont="1" applyFill="1" applyBorder="1" applyAlignment="1"/>
    <xf numFmtId="4" fontId="27" fillId="0" borderId="1" xfId="3" applyNumberFormat="1" applyFont="1" applyFill="1" applyBorder="1" applyAlignment="1"/>
    <xf numFmtId="4" fontId="25" fillId="7" borderId="1" xfId="3" applyNumberFormat="1" applyFont="1" applyFill="1" applyBorder="1" applyAlignment="1"/>
    <xf numFmtId="4" fontId="25" fillId="7" borderId="3" xfId="3" applyNumberFormat="1" applyFont="1" applyFill="1" applyBorder="1" applyAlignment="1"/>
    <xf numFmtId="49" fontId="8" fillId="0" borderId="29" xfId="0" applyNumberFormat="1" applyFont="1" applyBorder="1" applyAlignment="1"/>
    <xf numFmtId="4" fontId="25" fillId="4" borderId="35" xfId="0" applyNumberFormat="1" applyFont="1" applyFill="1" applyBorder="1" applyAlignment="1"/>
    <xf numFmtId="49" fontId="21" fillId="0" borderId="29" xfId="0" applyNumberFormat="1" applyFont="1" applyFill="1" applyBorder="1" applyAlignment="1"/>
    <xf numFmtId="4" fontId="27" fillId="0" borderId="29" xfId="0" applyNumberFormat="1" applyFont="1" applyFill="1" applyBorder="1" applyAlignment="1"/>
    <xf numFmtId="49" fontId="8" fillId="6" borderId="29" xfId="0" applyNumberFormat="1" applyFont="1" applyFill="1" applyBorder="1" applyAlignment="1"/>
    <xf numFmtId="4" fontId="25" fillId="6" borderId="29" xfId="0" applyNumberFormat="1" applyFont="1" applyFill="1" applyBorder="1"/>
    <xf numFmtId="49" fontId="13" fillId="0" borderId="3" xfId="3" applyNumberFormat="1" applyFont="1" applyBorder="1" applyAlignment="1"/>
    <xf numFmtId="49" fontId="13" fillId="0" borderId="3" xfId="0" applyNumberFormat="1" applyFont="1" applyBorder="1" applyAlignment="1"/>
    <xf numFmtId="49" fontId="13" fillId="0" borderId="13" xfId="3" applyNumberFormat="1" applyFont="1" applyBorder="1" applyAlignment="1"/>
    <xf numFmtId="4" fontId="25" fillId="4" borderId="35" xfId="4" applyNumberFormat="1" applyFont="1" applyFill="1" applyBorder="1"/>
    <xf numFmtId="4" fontId="25" fillId="0" borderId="7" xfId="0" applyNumberFormat="1" applyFont="1" applyBorder="1"/>
    <xf numFmtId="49" fontId="19" fillId="7" borderId="1" xfId="3" applyNumberFormat="1" applyFont="1" applyFill="1" applyBorder="1" applyAlignment="1"/>
    <xf numFmtId="49" fontId="19" fillId="3" borderId="24" xfId="3" applyNumberFormat="1" applyFont="1" applyFill="1" applyBorder="1" applyAlignment="1"/>
    <xf numFmtId="4" fontId="26" fillId="3" borderId="36" xfId="3" applyNumberFormat="1" applyFont="1" applyFill="1" applyBorder="1" applyAlignment="1"/>
    <xf numFmtId="49" fontId="19" fillId="3" borderId="37" xfId="3" applyNumberFormat="1" applyFont="1" applyFill="1" applyBorder="1" applyAlignment="1"/>
    <xf numFmtId="4" fontId="25" fillId="3" borderId="37" xfId="0" applyNumberFormat="1" applyFont="1" applyFill="1" applyBorder="1"/>
    <xf numFmtId="4" fontId="26" fillId="3" borderId="37" xfId="3" applyNumberFormat="1" applyFont="1" applyFill="1" applyBorder="1" applyAlignment="1"/>
    <xf numFmtId="4" fontId="26" fillId="3" borderId="38" xfId="3" applyNumberFormat="1" applyFont="1" applyFill="1" applyBorder="1" applyAlignment="1"/>
    <xf numFmtId="4" fontId="27" fillId="0" borderId="39" xfId="0" applyNumberFormat="1" applyFont="1" applyBorder="1" applyAlignment="1"/>
    <xf numFmtId="4" fontId="27" fillId="4" borderId="39" xfId="0" applyNumberFormat="1" applyFont="1" applyFill="1" applyBorder="1" applyAlignment="1"/>
    <xf numFmtId="4" fontId="25" fillId="0" borderId="39" xfId="4" applyNumberFormat="1" applyFont="1" applyBorder="1"/>
    <xf numFmtId="49" fontId="9" fillId="7" borderId="1" xfId="5" applyNumberFormat="1" applyFont="1" applyFill="1" applyBorder="1" applyAlignment="1"/>
    <xf numFmtId="0" fontId="2" fillId="0" borderId="0" xfId="0" applyFont="1" applyFill="1"/>
    <xf numFmtId="0" fontId="2" fillId="0" borderId="0" xfId="0" applyFont="1" applyFill="1" applyBorder="1"/>
    <xf numFmtId="0" fontId="0" fillId="0" borderId="9" xfId="0" applyBorder="1" applyAlignment="1">
      <alignment horizontal="center"/>
    </xf>
    <xf numFmtId="0" fontId="4" fillId="0" borderId="37" xfId="0" applyFont="1" applyBorder="1" applyAlignment="1">
      <alignment horizontal="center"/>
    </xf>
    <xf numFmtId="0" fontId="0" fillId="0" borderId="41" xfId="0" applyBorder="1"/>
    <xf numFmtId="0" fontId="8" fillId="0" borderId="0" xfId="0" applyFont="1" applyAlignment="1">
      <alignment horizontal="centerContinuous"/>
    </xf>
    <xf numFmtId="0" fontId="0" fillId="0" borderId="0" xfId="0" applyAlignment="1">
      <alignment horizontal="left"/>
    </xf>
    <xf numFmtId="0" fontId="8" fillId="0" borderId="0" xfId="0" applyFont="1"/>
    <xf numFmtId="49" fontId="4" fillId="0" borderId="0" xfId="0" applyNumberFormat="1" applyFont="1"/>
    <xf numFmtId="0" fontId="30" fillId="0" borderId="0" xfId="0" applyFont="1" applyAlignment="1">
      <alignment horizontal="right"/>
    </xf>
    <xf numFmtId="49" fontId="4" fillId="0" borderId="21" xfId="0" applyNumberFormat="1" applyFont="1" applyBorder="1" applyAlignment="1">
      <alignment horizontal="centerContinuous"/>
    </xf>
    <xf numFmtId="0" fontId="4" fillId="0" borderId="0" xfId="0" applyFont="1" applyAlignment="1">
      <alignment horizontal="centerContinuous"/>
    </xf>
    <xf numFmtId="0" fontId="4" fillId="0" borderId="0" xfId="0" applyFont="1" applyAlignment="1">
      <alignment horizontal="right"/>
    </xf>
    <xf numFmtId="49" fontId="4" fillId="0" borderId="22" xfId="0" applyNumberFormat="1"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49" fontId="4" fillId="0" borderId="42" xfId="0" applyNumberFormat="1" applyFont="1" applyBorder="1"/>
    <xf numFmtId="49" fontId="4" fillId="0" borderId="43" xfId="0" applyNumberFormat="1" applyFont="1" applyBorder="1"/>
    <xf numFmtId="49" fontId="4" fillId="0" borderId="22" xfId="0" applyNumberFormat="1" applyFont="1" applyBorder="1" applyAlignment="1">
      <alignment horizontal="centerContinuous"/>
    </xf>
    <xf numFmtId="49" fontId="4" fillId="0" borderId="23" xfId="0" applyNumberFormat="1" applyFont="1" applyBorder="1" applyAlignment="1">
      <alignment horizontal="centerContinuous"/>
    </xf>
    <xf numFmtId="0" fontId="4" fillId="0" borderId="41"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vertical="center"/>
    </xf>
    <xf numFmtId="0" fontId="4" fillId="0" borderId="14" xfId="0" applyFont="1" applyBorder="1" applyAlignment="1">
      <alignment horizontal="center"/>
    </xf>
    <xf numFmtId="0" fontId="4" fillId="0" borderId="19" xfId="0" applyFont="1" applyBorder="1" applyAlignment="1">
      <alignment horizontal="center"/>
    </xf>
    <xf numFmtId="0" fontId="4" fillId="0" borderId="11" xfId="0" applyFont="1" applyBorder="1" applyAlignment="1">
      <alignment horizontal="center"/>
    </xf>
    <xf numFmtId="0" fontId="4" fillId="0" borderId="4" xfId="0" applyFont="1" applyBorder="1"/>
    <xf numFmtId="0" fontId="4" fillId="0" borderId="6" xfId="0" applyFont="1" applyBorder="1" applyAlignment="1">
      <alignment horizontal="center"/>
    </xf>
    <xf numFmtId="49" fontId="4" fillId="0" borderId="17" xfId="0" applyNumberFormat="1" applyFont="1" applyBorder="1" applyAlignment="1">
      <alignment horizontal="center"/>
    </xf>
    <xf numFmtId="49" fontId="4" fillId="0" borderId="44" xfId="0" applyNumberFormat="1" applyFont="1" applyBorder="1" applyAlignment="1">
      <alignment horizontal="center"/>
    </xf>
    <xf numFmtId="0" fontId="4" fillId="0" borderId="0" xfId="0" applyFont="1" applyBorder="1" applyAlignment="1">
      <alignment horizontal="right"/>
    </xf>
    <xf numFmtId="49" fontId="4" fillId="0" borderId="0" xfId="0" applyNumberFormat="1" applyFont="1" applyBorder="1" applyAlignment="1">
      <alignment horizontal="right"/>
    </xf>
    <xf numFmtId="0" fontId="0" fillId="0" borderId="9" xfId="0" applyBorder="1"/>
    <xf numFmtId="0" fontId="0" fillId="0" borderId="15" xfId="0" applyBorder="1"/>
    <xf numFmtId="49" fontId="4" fillId="0" borderId="0" xfId="0" applyNumberFormat="1" applyFont="1" applyBorder="1" applyAlignment="1">
      <alignment vertical="center"/>
    </xf>
    <xf numFmtId="49" fontId="4" fillId="0" borderId="0" xfId="0" applyNumberFormat="1" applyFont="1" applyBorder="1" applyAlignment="1">
      <alignment horizontal="center"/>
    </xf>
    <xf numFmtId="49" fontId="4" fillId="0" borderId="0" xfId="0" applyNumberFormat="1" applyFont="1" applyBorder="1"/>
    <xf numFmtId="49" fontId="4" fillId="0" borderId="0" xfId="0" applyNumberFormat="1" applyFont="1" applyBorder="1" applyAlignment="1">
      <alignment horizontal="centerContinuous"/>
    </xf>
    <xf numFmtId="0" fontId="4" fillId="0" borderId="2" xfId="0" applyFont="1" applyBorder="1" applyAlignment="1">
      <alignment horizontal="left"/>
    </xf>
    <xf numFmtId="0" fontId="4" fillId="0" borderId="41" xfId="0" applyFont="1" applyBorder="1" applyAlignment="1">
      <alignment horizontal="left"/>
    </xf>
    <xf numFmtId="49" fontId="0" fillId="0" borderId="9" xfId="0" applyNumberFormat="1" applyBorder="1" applyAlignment="1">
      <alignment horizontal="center"/>
    </xf>
    <xf numFmtId="49" fontId="0" fillId="0" borderId="29" xfId="0" applyNumberFormat="1" applyBorder="1" applyAlignment="1">
      <alignment horizontal="center"/>
    </xf>
    <xf numFmtId="49" fontId="4" fillId="0" borderId="45" xfId="0" applyNumberFormat="1" applyFont="1" applyBorder="1" applyAlignment="1">
      <alignment horizontal="center"/>
    </xf>
    <xf numFmtId="49" fontId="4" fillId="0" borderId="7" xfId="0" applyNumberFormat="1" applyFont="1" applyBorder="1" applyAlignment="1">
      <alignment horizontal="center" vertical="center"/>
    </xf>
    <xf numFmtId="0" fontId="0" fillId="0" borderId="34" xfId="0" applyBorder="1"/>
    <xf numFmtId="4" fontId="18" fillId="0" borderId="0" xfId="0" applyNumberFormat="1" applyFont="1"/>
    <xf numFmtId="0" fontId="0" fillId="0" borderId="46" xfId="0" applyBorder="1"/>
    <xf numFmtId="0" fontId="0" fillId="0" borderId="24" xfId="0" applyBorder="1"/>
    <xf numFmtId="49" fontId="0" fillId="0" borderId="24" xfId="0" applyNumberFormat="1" applyBorder="1" applyAlignment="1">
      <alignment horizontal="center"/>
    </xf>
    <xf numFmtId="4" fontId="0" fillId="0" borderId="24" xfId="0" applyNumberFormat="1" applyBorder="1"/>
    <xf numFmtId="49" fontId="4" fillId="0" borderId="47" xfId="0" applyNumberFormat="1" applyFont="1" applyBorder="1" applyAlignment="1">
      <alignment horizontal="center"/>
    </xf>
    <xf numFmtId="0" fontId="0" fillId="0" borderId="48" xfId="0" applyBorder="1"/>
    <xf numFmtId="49" fontId="4" fillId="0" borderId="49" xfId="0" applyNumberFormat="1" applyFont="1" applyBorder="1" applyAlignment="1">
      <alignment horizontal="center"/>
    </xf>
    <xf numFmtId="4" fontId="18" fillId="0" borderId="0" xfId="0" applyNumberFormat="1" applyFont="1" applyBorder="1" applyAlignment="1"/>
    <xf numFmtId="4" fontId="18" fillId="0" borderId="0" xfId="0" applyNumberFormat="1" applyFont="1" applyAlignment="1"/>
    <xf numFmtId="0" fontId="18" fillId="0" borderId="0" xfId="0" applyFont="1"/>
    <xf numFmtId="49" fontId="20" fillId="5" borderId="3" xfId="3" applyNumberFormat="1" applyFont="1" applyFill="1" applyBorder="1" applyAlignment="1"/>
    <xf numFmtId="4" fontId="25" fillId="5" borderId="50" xfId="0" applyNumberFormat="1" applyFont="1" applyFill="1" applyBorder="1"/>
    <xf numFmtId="4" fontId="27" fillId="5" borderId="50" xfId="3" applyNumberFormat="1" applyFont="1" applyFill="1" applyBorder="1"/>
    <xf numFmtId="4" fontId="27" fillId="5" borderId="51" xfId="3" applyNumberFormat="1" applyFont="1" applyFill="1" applyBorder="1"/>
    <xf numFmtId="49" fontId="23" fillId="8" borderId="1" xfId="0" applyNumberFormat="1" applyFont="1" applyFill="1" applyBorder="1" applyAlignment="1"/>
    <xf numFmtId="4" fontId="25" fillId="8" borderId="3" xfId="0" applyNumberFormat="1" applyFont="1" applyFill="1" applyBorder="1"/>
    <xf numFmtId="4" fontId="27" fillId="8" borderId="5" xfId="3" applyNumberFormat="1" applyFont="1" applyFill="1" applyBorder="1"/>
    <xf numFmtId="4" fontId="27" fillId="8" borderId="7" xfId="3" applyNumberFormat="1" applyFont="1" applyFill="1" applyBorder="1" applyAlignment="1">
      <alignment horizontal="center"/>
    </xf>
    <xf numFmtId="0" fontId="3" fillId="0" borderId="4" xfId="3" applyFont="1" applyBorder="1" applyAlignment="1">
      <alignment horizontal="center" wrapText="1"/>
    </xf>
    <xf numFmtId="0" fontId="16" fillId="3" borderId="5" xfId="3" applyFont="1" applyFill="1" applyBorder="1" applyAlignment="1">
      <alignment wrapText="1"/>
    </xf>
    <xf numFmtId="0" fontId="2" fillId="0" borderId="5" xfId="0" applyFont="1" applyBorder="1" applyAlignment="1">
      <alignment vertical="top" wrapText="1"/>
    </xf>
    <xf numFmtId="0" fontId="2" fillId="0" borderId="5" xfId="3" applyFont="1" applyBorder="1" applyAlignment="1">
      <alignment wrapText="1"/>
    </xf>
    <xf numFmtId="49" fontId="2" fillId="0" borderId="5" xfId="0" applyNumberFormat="1" applyFont="1" applyBorder="1" applyAlignment="1">
      <alignment horizontal="left" wrapText="1"/>
    </xf>
    <xf numFmtId="0" fontId="2" fillId="5" borderId="5" xfId="0" applyFont="1" applyFill="1" applyBorder="1" applyAlignment="1">
      <alignment wrapText="1"/>
    </xf>
    <xf numFmtId="0" fontId="1" fillId="5" borderId="5" xfId="5" applyFont="1" applyFill="1" applyBorder="1" applyAlignment="1">
      <alignment wrapText="1"/>
    </xf>
    <xf numFmtId="0" fontId="2" fillId="5" borderId="5" xfId="3" applyFont="1" applyFill="1" applyBorder="1" applyAlignment="1">
      <alignment wrapText="1"/>
    </xf>
    <xf numFmtId="0" fontId="2" fillId="0" borderId="1" xfId="0" applyFont="1" applyBorder="1"/>
    <xf numFmtId="0" fontId="7" fillId="2" borderId="18" xfId="0" applyFont="1" applyFill="1" applyBorder="1" applyAlignment="1">
      <alignment wrapText="1"/>
    </xf>
    <xf numFmtId="49" fontId="2" fillId="0" borderId="4" xfId="0" applyNumberFormat="1" applyFont="1" applyBorder="1" applyAlignment="1">
      <alignment horizontal="left" vertical="center" wrapText="1"/>
    </xf>
    <xf numFmtId="0" fontId="2" fillId="0" borderId="14" xfId="0" applyFont="1" applyBorder="1" applyAlignment="1">
      <alignment wrapText="1"/>
    </xf>
    <xf numFmtId="0" fontId="21" fillId="0" borderId="18" xfId="0" applyFont="1" applyBorder="1" applyAlignment="1">
      <alignment wrapText="1"/>
    </xf>
    <xf numFmtId="49" fontId="8" fillId="0" borderId="18" xfId="0" applyNumberFormat="1" applyFont="1" applyFill="1" applyBorder="1" applyAlignment="1">
      <alignment horizontal="left" vertical="center" wrapText="1"/>
    </xf>
    <xf numFmtId="0" fontId="2" fillId="0" borderId="52" xfId="0" applyFont="1" applyBorder="1" applyAlignment="1">
      <alignment wrapText="1"/>
    </xf>
    <xf numFmtId="0" fontId="8" fillId="0" borderId="18" xfId="0" applyFont="1" applyBorder="1" applyAlignment="1">
      <alignment wrapText="1"/>
    </xf>
    <xf numFmtId="0" fontId="1" fillId="0" borderId="4" xfId="0" applyFont="1" applyBorder="1" applyAlignment="1">
      <alignment wrapText="1"/>
    </xf>
    <xf numFmtId="0" fontId="8" fillId="6" borderId="53" xfId="0" applyFont="1" applyFill="1" applyBorder="1" applyAlignment="1">
      <alignment wrapText="1"/>
    </xf>
    <xf numFmtId="0" fontId="16" fillId="7" borderId="4" xfId="0" applyFont="1" applyFill="1" applyBorder="1" applyAlignment="1">
      <alignment wrapText="1"/>
    </xf>
    <xf numFmtId="0" fontId="16" fillId="8" borderId="5" xfId="0" applyFont="1" applyFill="1" applyBorder="1" applyAlignment="1">
      <alignment wrapText="1"/>
    </xf>
    <xf numFmtId="2" fontId="13" fillId="0" borderId="5" xfId="5" applyNumberFormat="1" applyFont="1" applyBorder="1" applyAlignment="1">
      <alignment wrapText="1"/>
    </xf>
    <xf numFmtId="0" fontId="1" fillId="0" borderId="5" xfId="5" applyFont="1" applyBorder="1" applyAlignment="1">
      <alignment wrapText="1"/>
    </xf>
    <xf numFmtId="0" fontId="9" fillId="7" borderId="5" xfId="5" applyFont="1" applyFill="1" applyBorder="1" applyAlignment="1">
      <alignment wrapText="1"/>
    </xf>
    <xf numFmtId="0" fontId="2" fillId="0" borderId="9" xfId="0" applyFont="1" applyBorder="1"/>
    <xf numFmtId="4" fontId="25" fillId="5" borderId="1" xfId="0" applyNumberFormat="1" applyFont="1" applyFill="1" applyBorder="1"/>
    <xf numFmtId="0" fontId="21" fillId="0" borderId="18" xfId="0" applyFont="1" applyBorder="1" applyAlignment="1">
      <alignment vertical="top" wrapText="1"/>
    </xf>
    <xf numFmtId="49" fontId="8" fillId="0" borderId="18" xfId="0" applyNumberFormat="1" applyFont="1" applyBorder="1" applyAlignment="1">
      <alignment horizontal="left" vertical="center" wrapText="1"/>
    </xf>
    <xf numFmtId="0" fontId="21" fillId="2" borderId="18" xfId="0" applyFont="1" applyFill="1" applyBorder="1" applyAlignment="1">
      <alignment wrapText="1"/>
    </xf>
    <xf numFmtId="0" fontId="2" fillId="0" borderId="7" xfId="0" applyFont="1" applyBorder="1"/>
    <xf numFmtId="0" fontId="2" fillId="0" borderId="0" xfId="0" applyFont="1" applyBorder="1"/>
    <xf numFmtId="0" fontId="2" fillId="0" borderId="0" xfId="3" applyFont="1" applyFill="1" applyBorder="1"/>
    <xf numFmtId="49" fontId="2" fillId="0" borderId="0" xfId="3" applyNumberFormat="1" applyFont="1" applyFill="1" applyBorder="1"/>
    <xf numFmtId="4" fontId="27" fillId="0" borderId="0" xfId="3" applyNumberFormat="1" applyFont="1" applyFill="1" applyBorder="1"/>
    <xf numFmtId="4" fontId="25" fillId="8" borderId="13" xfId="0" applyNumberFormat="1" applyFont="1" applyFill="1" applyBorder="1"/>
    <xf numFmtId="4" fontId="27" fillId="8" borderId="6" xfId="3" applyNumberFormat="1" applyFont="1" applyFill="1" applyBorder="1"/>
    <xf numFmtId="0" fontId="2" fillId="8" borderId="6" xfId="3" applyFont="1" applyFill="1" applyBorder="1"/>
    <xf numFmtId="4" fontId="27" fillId="8" borderId="1" xfId="3" applyNumberFormat="1" applyFont="1" applyFill="1" applyBorder="1" applyAlignment="1">
      <alignment horizontal="center"/>
    </xf>
    <xf numFmtId="0" fontId="0" fillId="0" borderId="0" xfId="0" applyFill="1" applyBorder="1"/>
    <xf numFmtId="0" fontId="16" fillId="0" borderId="0" xfId="3" applyFont="1" applyFill="1" applyBorder="1" applyAlignment="1">
      <alignment wrapText="1"/>
    </xf>
    <xf numFmtId="49" fontId="19" fillId="0" borderId="0" xfId="3" applyNumberFormat="1" applyFont="1" applyFill="1" applyBorder="1" applyAlignment="1"/>
    <xf numFmtId="4" fontId="26" fillId="0" borderId="0" xfId="3" applyNumberFormat="1" applyFont="1" applyFill="1" applyBorder="1" applyAlignment="1"/>
    <xf numFmtId="0" fontId="2" fillId="0" borderId="46" xfId="0" applyFont="1" applyBorder="1"/>
    <xf numFmtId="0" fontId="2" fillId="0" borderId="17" xfId="0" applyFont="1" applyBorder="1"/>
    <xf numFmtId="0" fontId="2" fillId="0" borderId="47" xfId="0" applyFont="1" applyBorder="1"/>
    <xf numFmtId="0" fontId="0" fillId="0" borderId="54" xfId="0" applyBorder="1"/>
    <xf numFmtId="0" fontId="0" fillId="0" borderId="20" xfId="0" applyBorder="1"/>
    <xf numFmtId="0" fontId="3" fillId="0" borderId="53" xfId="3" applyFont="1" applyBorder="1" applyAlignment="1">
      <alignment horizontal="center" wrapText="1"/>
    </xf>
    <xf numFmtId="49" fontId="3" fillId="0" borderId="34" xfId="3" applyNumberFormat="1" applyFont="1" applyBorder="1" applyAlignment="1">
      <alignment horizontal="center" wrapText="1"/>
    </xf>
    <xf numFmtId="49" fontId="25" fillId="0" borderId="37" xfId="3" applyNumberFormat="1" applyFont="1" applyBorder="1" applyAlignment="1">
      <alignment horizontal="center" vertical="top" wrapText="1"/>
    </xf>
    <xf numFmtId="4" fontId="25" fillId="0" borderId="37" xfId="3" applyNumberFormat="1" applyFont="1" applyBorder="1" applyAlignment="1">
      <alignment horizontal="center" vertical="top" wrapText="1"/>
    </xf>
    <xf numFmtId="4" fontId="25" fillId="4" borderId="37" xfId="3" applyNumberFormat="1" applyFont="1" applyFill="1" applyBorder="1" applyAlignment="1">
      <alignment horizontal="center" vertical="top" wrapText="1"/>
    </xf>
    <xf numFmtId="4" fontId="25" fillId="4" borderId="38" xfId="3" applyNumberFormat="1" applyFont="1" applyFill="1" applyBorder="1" applyAlignment="1">
      <alignment horizontal="center" vertical="top" wrapText="1"/>
    </xf>
    <xf numFmtId="0" fontId="1" fillId="0" borderId="5" xfId="5" applyFont="1" applyBorder="1" applyAlignment="1">
      <alignment vertical="top" wrapText="1"/>
    </xf>
    <xf numFmtId="0" fontId="2" fillId="0" borderId="1" xfId="0" applyFont="1" applyBorder="1" applyAlignment="1">
      <alignment vertical="top"/>
    </xf>
    <xf numFmtId="0" fontId="2" fillId="0" borderId="9" xfId="0" applyFont="1" applyBorder="1" applyAlignment="1">
      <alignment vertical="top"/>
    </xf>
    <xf numFmtId="2" fontId="13" fillId="0" borderId="4" xfId="5" applyNumberFormat="1" applyFont="1" applyBorder="1" applyAlignment="1">
      <alignment wrapText="1"/>
    </xf>
    <xf numFmtId="4" fontId="25" fillId="0" borderId="9" xfId="0" applyNumberFormat="1" applyFont="1" applyBorder="1"/>
    <xf numFmtId="4" fontId="27" fillId="0" borderId="9" xfId="3" applyNumberFormat="1" applyFont="1" applyBorder="1" applyAlignment="1"/>
    <xf numFmtId="4" fontId="27" fillId="4" borderId="9" xfId="3" applyNumberFormat="1" applyFont="1" applyFill="1" applyBorder="1" applyAlignment="1"/>
    <xf numFmtId="0" fontId="2" fillId="0" borderId="54" xfId="0" applyFont="1" applyBorder="1"/>
    <xf numFmtId="0" fontId="2" fillId="0" borderId="12" xfId="0" applyFont="1" applyBorder="1"/>
    <xf numFmtId="4" fontId="25" fillId="4" borderId="16" xfId="3" applyNumberFormat="1" applyFont="1" applyFill="1" applyBorder="1" applyAlignment="1">
      <alignment horizontal="center" vertical="top" wrapText="1"/>
    </xf>
    <xf numFmtId="0" fontId="2" fillId="0" borderId="20" xfId="0" applyFont="1" applyBorder="1"/>
    <xf numFmtId="3" fontId="25" fillId="0" borderId="37" xfId="3" applyNumberFormat="1" applyFont="1" applyBorder="1" applyAlignment="1">
      <alignment horizontal="center" vertical="top" wrapText="1"/>
    </xf>
    <xf numFmtId="3" fontId="25" fillId="4" borderId="37" xfId="3" applyNumberFormat="1" applyFont="1" applyFill="1" applyBorder="1" applyAlignment="1">
      <alignment horizontal="center" vertical="top" wrapText="1"/>
    </xf>
    <xf numFmtId="3" fontId="25" fillId="4" borderId="38" xfId="3" applyNumberFormat="1" applyFont="1" applyFill="1" applyBorder="1" applyAlignment="1">
      <alignment horizontal="center" vertical="top" wrapText="1"/>
    </xf>
    <xf numFmtId="49" fontId="20" fillId="0" borderId="0" xfId="3" applyNumberFormat="1" applyFont="1" applyBorder="1" applyAlignment="1"/>
    <xf numFmtId="4" fontId="25" fillId="0" borderId="0" xfId="0" applyNumberFormat="1" applyFont="1" applyBorder="1"/>
    <xf numFmtId="4" fontId="27" fillId="0" borderId="0" xfId="3" applyNumberFormat="1" applyFont="1" applyBorder="1" applyAlignment="1"/>
    <xf numFmtId="4" fontId="27" fillId="4" borderId="0" xfId="3" applyNumberFormat="1" applyFont="1" applyFill="1" applyBorder="1" applyAlignment="1"/>
    <xf numFmtId="2" fontId="2" fillId="0" borderId="5" xfId="0" applyNumberFormat="1" applyFont="1" applyBorder="1" applyAlignment="1">
      <alignment vertical="top" wrapText="1"/>
    </xf>
    <xf numFmtId="2" fontId="2" fillId="0" borderId="5" xfId="0" applyNumberFormat="1" applyFont="1" applyBorder="1" applyAlignment="1">
      <alignment horizontal="left" vertical="top" wrapText="1"/>
    </xf>
    <xf numFmtId="2" fontId="2" fillId="0" borderId="6" xfId="0" applyNumberFormat="1" applyFont="1" applyBorder="1" applyAlignment="1">
      <alignment vertical="top" wrapText="1"/>
    </xf>
    <xf numFmtId="2" fontId="16" fillId="3" borderId="52" xfId="3" applyNumberFormat="1" applyFont="1" applyFill="1" applyBorder="1" applyAlignment="1">
      <alignment vertical="top" wrapText="1"/>
    </xf>
    <xf numFmtId="2" fontId="16" fillId="7" borderId="5" xfId="3" applyNumberFormat="1" applyFont="1" applyFill="1" applyBorder="1" applyAlignment="1">
      <alignment vertical="top" wrapText="1"/>
    </xf>
    <xf numFmtId="2" fontId="16" fillId="3" borderId="55" xfId="3" applyNumberFormat="1" applyFont="1" applyFill="1" applyBorder="1" applyAlignment="1">
      <alignment vertical="top" wrapText="1"/>
    </xf>
    <xf numFmtId="2" fontId="2" fillId="0" borderId="5" xfId="0" applyNumberFormat="1" applyFont="1" applyFill="1" applyBorder="1" applyAlignment="1">
      <alignment vertical="top" wrapText="1"/>
    </xf>
    <xf numFmtId="49" fontId="13" fillId="0" borderId="3" xfId="3" applyNumberFormat="1" applyFont="1" applyFill="1" applyBorder="1" applyAlignment="1"/>
    <xf numFmtId="0" fontId="2" fillId="0" borderId="1" xfId="0" applyFont="1" applyFill="1" applyBorder="1"/>
    <xf numFmtId="49" fontId="6" fillId="0" borderId="3" xfId="0" applyNumberFormat="1" applyFont="1" applyFill="1" applyBorder="1" applyAlignment="1"/>
    <xf numFmtId="4" fontId="29" fillId="0" borderId="1" xfId="0" applyNumberFormat="1" applyFont="1" applyFill="1" applyBorder="1"/>
    <xf numFmtId="0" fontId="21" fillId="3" borderId="5" xfId="3" applyFont="1" applyFill="1" applyBorder="1" applyAlignment="1">
      <alignment wrapText="1"/>
    </xf>
    <xf numFmtId="0" fontId="0" fillId="0" borderId="0" xfId="0" applyProtection="1">
      <protection locked="0"/>
    </xf>
    <xf numFmtId="4" fontId="15" fillId="4" borderId="56" xfId="0" applyNumberFormat="1" applyFont="1" applyFill="1" applyBorder="1"/>
    <xf numFmtId="49" fontId="2" fillId="0" borderId="41" xfId="0" applyNumberFormat="1" applyFont="1" applyBorder="1" applyAlignment="1">
      <alignment horizontal="right"/>
    </xf>
    <xf numFmtId="4" fontId="2" fillId="0" borderId="3" xfId="0" applyNumberFormat="1" applyFont="1" applyBorder="1"/>
    <xf numFmtId="4" fontId="0" fillId="0" borderId="3" xfId="0" applyNumberFormat="1" applyBorder="1"/>
    <xf numFmtId="0" fontId="4" fillId="0" borderId="41" xfId="0" applyFont="1" applyBorder="1" applyAlignment="1">
      <alignment horizontal="right"/>
    </xf>
    <xf numFmtId="49" fontId="4" fillId="0" borderId="41" xfId="0" applyNumberFormat="1" applyFont="1" applyBorder="1"/>
    <xf numFmtId="0" fontId="0" fillId="0" borderId="41" xfId="0" applyBorder="1" applyAlignment="1">
      <alignment horizontal="left"/>
    </xf>
    <xf numFmtId="49" fontId="20" fillId="0" borderId="9" xfId="0" applyNumberFormat="1" applyFont="1" applyBorder="1" applyAlignment="1"/>
    <xf numFmtId="4" fontId="25" fillId="6" borderId="1" xfId="0" applyNumberFormat="1" applyFont="1" applyFill="1" applyBorder="1"/>
    <xf numFmtId="4" fontId="25" fillId="3" borderId="1" xfId="3" applyNumberFormat="1" applyFont="1" applyFill="1" applyBorder="1"/>
    <xf numFmtId="4" fontId="25" fillId="6" borderId="1" xfId="3" applyNumberFormat="1" applyFont="1" applyFill="1" applyBorder="1"/>
    <xf numFmtId="2" fontId="11" fillId="3" borderId="1" xfId="3" applyNumberFormat="1" applyFont="1" applyFill="1" applyBorder="1" applyAlignment="1">
      <alignment vertical="top" wrapText="1"/>
    </xf>
    <xf numFmtId="0" fontId="21" fillId="6" borderId="1" xfId="0" applyFont="1" applyFill="1" applyBorder="1" applyAlignment="1">
      <alignment wrapText="1"/>
    </xf>
    <xf numFmtId="49" fontId="21" fillId="6" borderId="1" xfId="0" applyNumberFormat="1" applyFont="1" applyFill="1" applyBorder="1" applyAlignment="1"/>
    <xf numFmtId="4" fontId="0" fillId="0" borderId="0" xfId="0" applyNumberFormat="1" applyBorder="1"/>
    <xf numFmtId="49" fontId="13" fillId="5" borderId="1" xfId="5" applyNumberFormat="1" applyFont="1" applyFill="1" applyBorder="1" applyAlignment="1"/>
    <xf numFmtId="49" fontId="13" fillId="5" borderId="9" xfId="5" applyNumberFormat="1" applyFont="1" applyFill="1" applyBorder="1" applyAlignment="1"/>
    <xf numFmtId="0" fontId="11" fillId="0" borderId="0" xfId="0" applyFont="1" applyAlignment="1">
      <alignment horizontal="center"/>
    </xf>
    <xf numFmtId="4" fontId="11" fillId="0" borderId="0" xfId="0" applyNumberFormat="1" applyFont="1" applyAlignment="1">
      <alignment horizontal="center"/>
    </xf>
    <xf numFmtId="4" fontId="25" fillId="0" borderId="11" xfId="0" applyNumberFormat="1" applyFont="1" applyFill="1" applyBorder="1"/>
    <xf numFmtId="4" fontId="27" fillId="4" borderId="19" xfId="0" applyNumberFormat="1" applyFont="1" applyFill="1" applyBorder="1" applyAlignment="1"/>
    <xf numFmtId="0" fontId="2" fillId="0" borderId="3" xfId="0" applyFont="1" applyBorder="1"/>
    <xf numFmtId="4" fontId="0" fillId="4" borderId="1" xfId="0" applyNumberFormat="1" applyFill="1" applyBorder="1" applyAlignment="1"/>
    <xf numFmtId="49" fontId="18" fillId="0" borderId="3" xfId="0" applyNumberFormat="1" applyFont="1" applyBorder="1" applyAlignment="1"/>
    <xf numFmtId="0" fontId="0" fillId="4" borderId="1" xfId="0" applyFill="1" applyBorder="1"/>
    <xf numFmtId="4" fontId="20" fillId="0" borderId="1" xfId="0" applyNumberFormat="1" applyFont="1" applyFill="1" applyBorder="1" applyAlignment="1"/>
    <xf numFmtId="4" fontId="20" fillId="0" borderId="9" xfId="0" applyNumberFormat="1" applyFont="1" applyBorder="1" applyAlignment="1"/>
    <xf numFmtId="4" fontId="20" fillId="0" borderId="1" xfId="0" applyNumberFormat="1" applyFont="1" applyBorder="1" applyAlignment="1"/>
    <xf numFmtId="4" fontId="25" fillId="4" borderId="50" xfId="0" applyNumberFormat="1" applyFont="1" applyFill="1" applyBorder="1" applyAlignment="1"/>
    <xf numFmtId="4" fontId="25" fillId="4" borderId="57" xfId="0" applyNumberFormat="1" applyFont="1" applyFill="1" applyBorder="1" applyAlignment="1"/>
    <xf numFmtId="4" fontId="25" fillId="4" borderId="33" xfId="0" applyNumberFormat="1" applyFont="1" applyFill="1" applyBorder="1" applyAlignment="1"/>
    <xf numFmtId="0" fontId="8" fillId="0" borderId="8" xfId="0" applyFont="1" applyBorder="1" applyAlignment="1">
      <alignment wrapText="1"/>
    </xf>
    <xf numFmtId="49" fontId="20" fillId="0" borderId="58" xfId="0" applyNumberFormat="1" applyFont="1" applyBorder="1" applyAlignment="1">
      <alignment horizontal="left"/>
    </xf>
    <xf numFmtId="49" fontId="20" fillId="0" borderId="1" xfId="0" applyNumberFormat="1" applyFont="1" applyBorder="1" applyAlignment="1">
      <alignment horizontal="left"/>
    </xf>
    <xf numFmtId="49" fontId="20" fillId="0" borderId="1" xfId="0" applyNumberFormat="1" applyFont="1" applyFill="1" applyBorder="1" applyAlignment="1"/>
    <xf numFmtId="4" fontId="27" fillId="0" borderId="50" xfId="4" applyNumberFormat="1" applyFont="1" applyBorder="1"/>
    <xf numFmtId="49" fontId="18" fillId="0" borderId="24" xfId="0" applyNumberFormat="1" applyFont="1" applyBorder="1" applyAlignment="1"/>
    <xf numFmtId="4" fontId="25" fillId="0" borderId="49" xfId="0" applyNumberFormat="1" applyFont="1" applyFill="1" applyBorder="1"/>
    <xf numFmtId="4" fontId="27" fillId="0" borderId="24" xfId="0" applyNumberFormat="1" applyFont="1" applyBorder="1" applyAlignment="1"/>
    <xf numFmtId="4" fontId="27" fillId="4" borderId="24" xfId="0" applyNumberFormat="1" applyFont="1" applyFill="1" applyBorder="1" applyAlignment="1"/>
    <xf numFmtId="4" fontId="27" fillId="0" borderId="24" xfId="4" applyNumberFormat="1" applyFont="1" applyBorder="1"/>
    <xf numFmtId="0" fontId="0" fillId="0" borderId="0" xfId="0" applyAlignment="1">
      <alignment horizontal="center"/>
    </xf>
    <xf numFmtId="0" fontId="0" fillId="0" borderId="0" xfId="0" applyFill="1"/>
    <xf numFmtId="4" fontId="0" fillId="0" borderId="0" xfId="0" applyNumberFormat="1" applyFill="1"/>
    <xf numFmtId="0" fontId="0" fillId="5" borderId="1" xfId="0" applyFill="1" applyBorder="1"/>
    <xf numFmtId="4" fontId="0" fillId="5" borderId="1" xfId="0" applyNumberFormat="1" applyFill="1" applyBorder="1"/>
    <xf numFmtId="49" fontId="4" fillId="0" borderId="34" xfId="0" applyNumberFormat="1" applyFont="1" applyBorder="1" applyAlignment="1">
      <alignment horizontal="center"/>
    </xf>
    <xf numFmtId="49" fontId="4" fillId="0" borderId="9" xfId="0" applyNumberFormat="1" applyFont="1" applyBorder="1" applyAlignment="1">
      <alignment horizontal="center"/>
    </xf>
    <xf numFmtId="0" fontId="4" fillId="0" borderId="56" xfId="0" applyFont="1" applyBorder="1" applyAlignment="1">
      <alignment horizontal="center"/>
    </xf>
    <xf numFmtId="49" fontId="4" fillId="0" borderId="43" xfId="0" applyNumberFormat="1" applyFont="1" applyBorder="1" applyAlignment="1">
      <alignment horizontal="center"/>
    </xf>
    <xf numFmtId="4" fontId="0" fillId="0" borderId="9" xfId="0" applyNumberFormat="1"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4" fontId="0" fillId="0" borderId="29" xfId="0" applyNumberFormat="1" applyBorder="1" applyAlignment="1">
      <alignment horizontal="center"/>
    </xf>
    <xf numFmtId="0" fontId="0" fillId="0" borderId="0" xfId="0" applyBorder="1" applyAlignment="1">
      <alignment horizontal="right"/>
    </xf>
    <xf numFmtId="0" fontId="0" fillId="0" borderId="53" xfId="0" applyBorder="1"/>
    <xf numFmtId="49" fontId="4" fillId="0" borderId="39" xfId="0" applyNumberFormat="1" applyFont="1" applyBorder="1" applyAlignment="1"/>
    <xf numFmtId="0" fontId="4" fillId="0" borderId="46" xfId="0" applyFont="1" applyBorder="1" applyAlignment="1">
      <alignment horizontal="center"/>
    </xf>
    <xf numFmtId="0" fontId="4" fillId="0" borderId="52" xfId="0" applyFont="1" applyBorder="1" applyAlignment="1">
      <alignment horizontal="center"/>
    </xf>
    <xf numFmtId="0" fontId="4" fillId="0" borderId="52" xfId="0" applyFont="1" applyBorder="1" applyAlignment="1">
      <alignment horizontal="center" vertical="center"/>
    </xf>
    <xf numFmtId="0" fontId="4" fillId="0" borderId="24" xfId="0" applyFont="1" applyBorder="1" applyAlignment="1">
      <alignment horizontal="left" vertical="center"/>
    </xf>
    <xf numFmtId="0" fontId="4" fillId="0" borderId="24" xfId="0" applyFont="1" applyBorder="1" applyAlignment="1">
      <alignment horizontal="center" vertical="center"/>
    </xf>
    <xf numFmtId="49" fontId="4" fillId="0" borderId="24"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1" xfId="0" applyNumberFormat="1" applyFont="1" applyBorder="1" applyAlignment="1">
      <alignment horizontal="center"/>
    </xf>
    <xf numFmtId="49" fontId="4" fillId="0" borderId="26" xfId="0" applyNumberFormat="1" applyFont="1" applyBorder="1" applyAlignment="1">
      <alignment horizontal="center"/>
    </xf>
    <xf numFmtId="49" fontId="4" fillId="0" borderId="36" xfId="0" applyNumberFormat="1" applyFont="1" applyBorder="1" applyAlignment="1">
      <alignment horizontal="center"/>
    </xf>
    <xf numFmtId="0" fontId="8" fillId="2" borderId="8" xfId="0" applyFont="1" applyFill="1" applyBorder="1" applyAlignment="1">
      <alignment wrapText="1"/>
    </xf>
    <xf numFmtId="0" fontId="2" fillId="0" borderId="2" xfId="0" applyFont="1" applyBorder="1" applyAlignment="1">
      <alignment wrapText="1"/>
    </xf>
    <xf numFmtId="0" fontId="2" fillId="0" borderId="41" xfId="0" applyFont="1" applyBorder="1" applyAlignment="1">
      <alignment wrapText="1"/>
    </xf>
    <xf numFmtId="0" fontId="2" fillId="0" borderId="56" xfId="0" applyFont="1" applyBorder="1" applyAlignment="1">
      <alignment wrapText="1"/>
    </xf>
    <xf numFmtId="4" fontId="25" fillId="2" borderId="28" xfId="0" applyNumberFormat="1" applyFont="1" applyFill="1" applyBorder="1"/>
    <xf numFmtId="0" fontId="2" fillId="0" borderId="10" xfId="0" applyFont="1" applyBorder="1"/>
    <xf numFmtId="49" fontId="20" fillId="0" borderId="7" xfId="0" applyNumberFormat="1" applyFont="1" applyBorder="1" applyAlignment="1"/>
    <xf numFmtId="49" fontId="18" fillId="0" borderId="29" xfId="0" applyNumberFormat="1" applyFont="1" applyBorder="1" applyAlignment="1"/>
    <xf numFmtId="4" fontId="25" fillId="2" borderId="34" xfId="0" applyNumberFormat="1" applyFont="1" applyFill="1" applyBorder="1" applyAlignment="1"/>
    <xf numFmtId="4" fontId="25" fillId="2" borderId="35" xfId="0" applyNumberFormat="1" applyFont="1" applyFill="1" applyBorder="1" applyAlignment="1"/>
    <xf numFmtId="4" fontId="20" fillId="0" borderId="9" xfId="0" applyNumberFormat="1" applyFont="1" applyFill="1" applyBorder="1" applyAlignment="1"/>
    <xf numFmtId="49" fontId="21" fillId="0" borderId="29" xfId="0" applyNumberFormat="1" applyFont="1" applyBorder="1" applyAlignment="1"/>
    <xf numFmtId="0" fontId="2" fillId="0" borderId="13" xfId="0" applyFont="1" applyBorder="1"/>
    <xf numFmtId="4" fontId="20" fillId="0" borderId="11" xfId="0" applyNumberFormat="1" applyFont="1" applyFill="1" applyBorder="1" applyAlignment="1"/>
    <xf numFmtId="0" fontId="35" fillId="0" borderId="59" xfId="0" applyFont="1" applyBorder="1" applyAlignment="1">
      <alignment vertical="top" wrapText="1"/>
    </xf>
    <xf numFmtId="0" fontId="2" fillId="0" borderId="11" xfId="0" applyFont="1" applyBorder="1"/>
    <xf numFmtId="49" fontId="8" fillId="0" borderId="50" xfId="0" applyNumberFormat="1" applyFont="1" applyBorder="1" applyAlignment="1"/>
    <xf numFmtId="49" fontId="21" fillId="0" borderId="58" xfId="0" applyNumberFormat="1" applyFont="1" applyBorder="1" applyAlignment="1">
      <alignment horizontal="left" vertical="top" wrapText="1"/>
    </xf>
    <xf numFmtId="4" fontId="25" fillId="0" borderId="50" xfId="0" applyNumberFormat="1" applyFont="1" applyFill="1" applyBorder="1"/>
    <xf numFmtId="4" fontId="27" fillId="0" borderId="50" xfId="0" applyNumberFormat="1" applyFont="1" applyBorder="1" applyAlignment="1"/>
    <xf numFmtId="4" fontId="27" fillId="4" borderId="50" xfId="0" applyNumberFormat="1" applyFont="1" applyFill="1" applyBorder="1" applyAlignment="1"/>
    <xf numFmtId="4" fontId="27" fillId="4" borderId="60" xfId="4" applyNumberFormat="1" applyFont="1" applyFill="1" applyBorder="1"/>
    <xf numFmtId="4" fontId="25" fillId="0" borderId="34" xfId="0" applyNumberFormat="1" applyFont="1" applyBorder="1" applyAlignment="1"/>
    <xf numFmtId="4" fontId="25" fillId="0" borderId="34" xfId="4" applyNumberFormat="1" applyFont="1" applyBorder="1"/>
    <xf numFmtId="49" fontId="2" fillId="0" borderId="18" xfId="0" applyNumberFormat="1" applyFont="1" applyBorder="1" applyAlignment="1">
      <alignment horizontal="left" vertical="center" wrapText="1"/>
    </xf>
    <xf numFmtId="0" fontId="3" fillId="0" borderId="14" xfId="3" applyFont="1" applyBorder="1" applyAlignment="1">
      <alignment horizontal="center" wrapText="1"/>
    </xf>
    <xf numFmtId="49" fontId="3" fillId="0" borderId="11" xfId="3" applyNumberFormat="1" applyFont="1" applyBorder="1" applyAlignment="1">
      <alignment horizontal="center" wrapText="1"/>
    </xf>
    <xf numFmtId="3" fontId="25" fillId="0" borderId="7" xfId="3" applyNumberFormat="1" applyFont="1" applyBorder="1" applyAlignment="1">
      <alignment horizontal="center" vertical="top" wrapText="1"/>
    </xf>
    <xf numFmtId="3" fontId="25" fillId="4" borderId="7" xfId="3" applyNumberFormat="1" applyFont="1" applyFill="1" applyBorder="1" applyAlignment="1">
      <alignment horizontal="center" vertical="top" wrapText="1"/>
    </xf>
    <xf numFmtId="3" fontId="25" fillId="4" borderId="32" xfId="3" applyNumberFormat="1" applyFont="1" applyFill="1" applyBorder="1" applyAlignment="1">
      <alignment horizontal="center" vertical="top" wrapText="1"/>
    </xf>
    <xf numFmtId="4" fontId="29" fillId="4" borderId="1" xfId="0" applyNumberFormat="1" applyFont="1" applyFill="1" applyBorder="1" applyAlignment="1"/>
    <xf numFmtId="4" fontId="29" fillId="5" borderId="25" xfId="0" applyNumberFormat="1" applyFont="1" applyFill="1" applyBorder="1"/>
    <xf numFmtId="4" fontId="29" fillId="5" borderId="29" xfId="0" applyNumberFormat="1" applyFont="1" applyFill="1" applyBorder="1" applyAlignment="1"/>
    <xf numFmtId="0" fontId="2" fillId="5" borderId="17" xfId="0" applyFont="1" applyFill="1" applyBorder="1"/>
    <xf numFmtId="49" fontId="18" fillId="5" borderId="1" xfId="0" applyNumberFormat="1" applyFont="1" applyFill="1" applyBorder="1" applyAlignment="1"/>
    <xf numFmtId="4" fontId="29" fillId="5" borderId="1" xfId="0" applyNumberFormat="1" applyFont="1" applyFill="1" applyBorder="1" applyAlignment="1"/>
    <xf numFmtId="0" fontId="2" fillId="5" borderId="53" xfId="0" applyFont="1" applyFill="1" applyBorder="1" applyAlignment="1">
      <alignment wrapText="1"/>
    </xf>
    <xf numFmtId="49" fontId="18" fillId="5" borderId="34" xfId="0" applyNumberFormat="1" applyFont="1" applyFill="1" applyBorder="1" applyAlignment="1"/>
    <xf numFmtId="0" fontId="2" fillId="5" borderId="20" xfId="0" applyFont="1" applyFill="1" applyBorder="1"/>
    <xf numFmtId="4" fontId="25" fillId="5" borderId="28" xfId="0" applyNumberFormat="1" applyFont="1" applyFill="1" applyBorder="1"/>
    <xf numFmtId="4" fontId="25" fillId="5" borderId="34" xfId="0" applyNumberFormat="1" applyFont="1" applyFill="1" applyBorder="1" applyAlignment="1"/>
    <xf numFmtId="4" fontId="27" fillId="5" borderId="39" xfId="0" applyNumberFormat="1" applyFont="1" applyFill="1" applyBorder="1" applyAlignment="1"/>
    <xf numFmtId="0" fontId="2" fillId="5" borderId="12" xfId="0" applyFont="1" applyFill="1" applyBorder="1"/>
    <xf numFmtId="0" fontId="2" fillId="5" borderId="4" xfId="0" applyFont="1" applyFill="1" applyBorder="1" applyAlignment="1">
      <alignment wrapText="1"/>
    </xf>
    <xf numFmtId="49" fontId="18" fillId="5" borderId="9" xfId="0" applyNumberFormat="1" applyFont="1" applyFill="1" applyBorder="1" applyAlignment="1"/>
    <xf numFmtId="4" fontId="29" fillId="5" borderId="0" xfId="0" applyNumberFormat="1" applyFont="1" applyFill="1" applyBorder="1"/>
    <xf numFmtId="4" fontId="29" fillId="5" borderId="9" xfId="0" applyNumberFormat="1" applyFont="1" applyFill="1" applyBorder="1" applyAlignment="1"/>
    <xf numFmtId="4" fontId="36" fillId="5" borderId="9" xfId="0" applyNumberFormat="1" applyFont="1" applyFill="1" applyBorder="1" applyAlignment="1"/>
    <xf numFmtId="0" fontId="2" fillId="5" borderId="10" xfId="0" applyFont="1" applyFill="1" applyBorder="1"/>
    <xf numFmtId="4" fontId="29" fillId="5" borderId="1" xfId="0" applyNumberFormat="1" applyFont="1" applyFill="1" applyBorder="1"/>
    <xf numFmtId="4" fontId="29" fillId="4" borderId="29" xfId="0" applyNumberFormat="1" applyFont="1" applyFill="1" applyBorder="1" applyAlignment="1"/>
    <xf numFmtId="4" fontId="29" fillId="4" borderId="9" xfId="0" applyNumberFormat="1" applyFont="1" applyFill="1" applyBorder="1" applyAlignment="1"/>
    <xf numFmtId="4" fontId="29" fillId="4" borderId="26" xfId="0" applyNumberFormat="1" applyFont="1" applyFill="1" applyBorder="1" applyAlignment="1"/>
    <xf numFmtId="4" fontId="29" fillId="4" borderId="31" xfId="0" applyNumberFormat="1" applyFont="1" applyFill="1" applyBorder="1" applyAlignment="1"/>
    <xf numFmtId="0" fontId="37" fillId="0" borderId="1" xfId="0" applyFont="1" applyBorder="1" applyAlignment="1">
      <alignment wrapText="1"/>
    </xf>
    <xf numFmtId="49" fontId="21" fillId="0" borderId="1" xfId="0" applyNumberFormat="1" applyFont="1" applyBorder="1" applyAlignment="1"/>
    <xf numFmtId="0" fontId="2" fillId="0" borderId="7" xfId="0" applyFont="1" applyBorder="1" applyAlignment="1">
      <alignment wrapText="1"/>
    </xf>
    <xf numFmtId="0" fontId="2" fillId="0" borderId="9" xfId="0" applyFont="1" applyFill="1" applyBorder="1" applyAlignment="1">
      <alignment wrapText="1"/>
    </xf>
    <xf numFmtId="4" fontId="25" fillId="4" borderId="60" xfId="0" applyNumberFormat="1" applyFont="1" applyFill="1" applyBorder="1" applyAlignment="1"/>
    <xf numFmtId="0" fontId="37" fillId="0" borderId="9" xfId="0" applyFont="1" applyBorder="1" applyAlignment="1">
      <alignment vertical="top" wrapText="1"/>
    </xf>
    <xf numFmtId="49" fontId="21" fillId="0" borderId="9" xfId="0" applyNumberFormat="1" applyFont="1" applyBorder="1" applyAlignment="1"/>
    <xf numFmtId="4" fontId="25" fillId="0" borderId="39" xfId="0" applyNumberFormat="1" applyFont="1" applyBorder="1" applyAlignment="1"/>
    <xf numFmtId="49" fontId="21" fillId="0" borderId="1" xfId="0" applyNumberFormat="1" applyFont="1" applyBorder="1" applyAlignment="1">
      <alignment horizontal="left" vertical="center" wrapText="1"/>
    </xf>
    <xf numFmtId="0" fontId="21" fillId="0" borderId="1" xfId="0" applyFont="1" applyBorder="1" applyAlignment="1">
      <alignment wrapText="1"/>
    </xf>
    <xf numFmtId="49" fontId="21" fillId="0" borderId="9" xfId="0" applyNumberFormat="1" applyFont="1" applyBorder="1" applyAlignment="1">
      <alignment horizontal="left" vertical="center" wrapText="1"/>
    </xf>
    <xf numFmtId="49" fontId="21" fillId="0" borderId="29" xfId="0" applyNumberFormat="1" applyFont="1" applyBorder="1" applyAlignment="1">
      <alignment horizontal="left" vertical="center" wrapText="1"/>
    </xf>
    <xf numFmtId="4" fontId="21" fillId="0" borderId="9" xfId="0" applyNumberFormat="1" applyFont="1" applyBorder="1" applyAlignment="1"/>
    <xf numFmtId="4" fontId="21" fillId="4" borderId="9" xfId="0" applyNumberFormat="1" applyFont="1" applyFill="1" applyBorder="1" applyAlignment="1"/>
    <xf numFmtId="4" fontId="21" fillId="0" borderId="1" xfId="0" applyNumberFormat="1" applyFont="1" applyFill="1" applyBorder="1" applyAlignment="1"/>
    <xf numFmtId="4" fontId="21" fillId="4" borderId="1" xfId="0" applyNumberFormat="1" applyFont="1" applyFill="1" applyBorder="1" applyAlignment="1"/>
    <xf numFmtId="4" fontId="21" fillId="0" borderId="1" xfId="0" applyNumberFormat="1" applyFont="1" applyBorder="1" applyAlignment="1"/>
    <xf numFmtId="4" fontId="21" fillId="0" borderId="29" xfId="0" applyNumberFormat="1" applyFont="1" applyBorder="1" applyAlignment="1"/>
    <xf numFmtId="4" fontId="21" fillId="4" borderId="29" xfId="0" applyNumberFormat="1" applyFont="1" applyFill="1" applyBorder="1" applyAlignment="1"/>
    <xf numFmtId="4" fontId="21" fillId="4" borderId="26" xfId="0" applyNumberFormat="1" applyFont="1" applyFill="1" applyBorder="1" applyAlignment="1"/>
    <xf numFmtId="0" fontId="38" fillId="5" borderId="8" xfId="0" applyFont="1" applyFill="1" applyBorder="1" applyAlignment="1">
      <alignment wrapText="1"/>
    </xf>
    <xf numFmtId="0" fontId="38" fillId="2" borderId="18" xfId="0" applyFont="1" applyFill="1" applyBorder="1" applyAlignment="1">
      <alignment wrapText="1"/>
    </xf>
    <xf numFmtId="0" fontId="21" fillId="0" borderId="8" xfId="0" applyFont="1" applyBorder="1" applyAlignment="1">
      <alignment wrapText="1"/>
    </xf>
    <xf numFmtId="49" fontId="21" fillId="0" borderId="18" xfId="0" applyNumberFormat="1" applyFont="1" applyBorder="1" applyAlignment="1"/>
    <xf numFmtId="0" fontId="2" fillId="0" borderId="24" xfId="0" applyFont="1" applyBorder="1" applyAlignment="1">
      <alignment wrapText="1"/>
    </xf>
    <xf numFmtId="4" fontId="27" fillId="4" borderId="0" xfId="0" applyNumberFormat="1" applyFont="1" applyFill="1" applyBorder="1" applyAlignment="1"/>
    <xf numFmtId="0" fontId="21" fillId="0" borderId="29" xfId="0" applyFont="1" applyBorder="1" applyAlignment="1">
      <alignment wrapText="1"/>
    </xf>
    <xf numFmtId="4" fontId="25" fillId="4" borderId="29" xfId="4" applyNumberFormat="1" applyFont="1" applyFill="1" applyBorder="1"/>
    <xf numFmtId="4" fontId="25" fillId="0" borderId="1" xfId="4" applyNumberFormat="1" applyFont="1" applyBorder="1"/>
    <xf numFmtId="49" fontId="8" fillId="0" borderId="18" xfId="0" applyNumberFormat="1" applyFont="1" applyBorder="1" applyAlignment="1"/>
    <xf numFmtId="49" fontId="18" fillId="0" borderId="4" xfId="0" applyNumberFormat="1" applyFont="1" applyBorder="1" applyAlignment="1"/>
    <xf numFmtId="0" fontId="2" fillId="0" borderId="11" xfId="0" applyFont="1" applyBorder="1" applyAlignment="1">
      <alignment wrapText="1"/>
    </xf>
    <xf numFmtId="0" fontId="2" fillId="0" borderId="9" xfId="0" applyFont="1" applyBorder="1" applyAlignment="1">
      <alignment wrapText="1"/>
    </xf>
    <xf numFmtId="0" fontId="2" fillId="0" borderId="37" xfId="0" applyFont="1" applyBorder="1" applyAlignment="1">
      <alignment wrapText="1"/>
    </xf>
    <xf numFmtId="49" fontId="18" fillId="0" borderId="5" xfId="0" applyNumberFormat="1" applyFont="1" applyBorder="1" applyAlignment="1"/>
    <xf numFmtId="49" fontId="8" fillId="0" borderId="25" xfId="0" applyNumberFormat="1" applyFont="1" applyBorder="1" applyAlignment="1"/>
    <xf numFmtId="49" fontId="18" fillId="0" borderId="52" xfId="0" applyNumberFormat="1" applyFont="1" applyBorder="1" applyAlignment="1"/>
    <xf numFmtId="0" fontId="2" fillId="0" borderId="55" xfId="0" applyFont="1" applyBorder="1" applyAlignment="1">
      <alignment wrapText="1"/>
    </xf>
    <xf numFmtId="0" fontId="8" fillId="0" borderId="29" xfId="0" applyFont="1" applyBorder="1" applyAlignment="1">
      <alignment wrapText="1"/>
    </xf>
    <xf numFmtId="49" fontId="8" fillId="2" borderId="53" xfId="0" applyNumberFormat="1" applyFont="1" applyFill="1" applyBorder="1" applyAlignment="1"/>
    <xf numFmtId="49" fontId="21" fillId="0" borderId="53" xfId="0" applyNumberFormat="1" applyFont="1" applyBorder="1" applyAlignment="1"/>
    <xf numFmtId="49" fontId="21" fillId="0" borderId="25" xfId="0" applyNumberFormat="1" applyFont="1" applyBorder="1" applyAlignment="1"/>
    <xf numFmtId="49" fontId="8" fillId="5" borderId="18" xfId="0" applyNumberFormat="1" applyFont="1" applyFill="1" applyBorder="1" applyAlignment="1"/>
    <xf numFmtId="0" fontId="34" fillId="0" borderId="8" xfId="0" applyFont="1" applyBorder="1" applyAlignment="1">
      <alignment wrapText="1"/>
    </xf>
    <xf numFmtId="49" fontId="18" fillId="0" borderId="6" xfId="0" applyNumberFormat="1" applyFont="1" applyBorder="1" applyAlignment="1"/>
    <xf numFmtId="49" fontId="8" fillId="0" borderId="53" xfId="0" applyNumberFormat="1" applyFont="1" applyBorder="1" applyAlignment="1"/>
    <xf numFmtId="0" fontId="21" fillId="0" borderId="29" xfId="0" applyFont="1" applyBorder="1" applyAlignment="1">
      <alignment vertical="top" wrapText="1"/>
    </xf>
    <xf numFmtId="0" fontId="21" fillId="2" borderId="29" xfId="0" applyFont="1" applyFill="1" applyBorder="1" applyAlignment="1">
      <alignment wrapText="1"/>
    </xf>
    <xf numFmtId="49" fontId="8" fillId="6" borderId="18" xfId="0" applyNumberFormat="1" applyFont="1" applyFill="1" applyBorder="1" applyAlignment="1"/>
    <xf numFmtId="0" fontId="8" fillId="2" borderId="29" xfId="0" applyFont="1" applyFill="1" applyBorder="1" applyAlignment="1">
      <alignment wrapText="1"/>
    </xf>
    <xf numFmtId="49" fontId="20" fillId="0" borderId="14" xfId="0" applyNumberFormat="1" applyFont="1" applyBorder="1" applyAlignment="1">
      <alignment horizontal="left"/>
    </xf>
    <xf numFmtId="4" fontId="25" fillId="0" borderId="48" xfId="0" applyNumberFormat="1" applyFont="1" applyFill="1" applyBorder="1"/>
    <xf numFmtId="49" fontId="20" fillId="0" borderId="14" xfId="0" applyNumberFormat="1" applyFont="1" applyFill="1" applyBorder="1" applyAlignment="1"/>
    <xf numFmtId="49" fontId="20" fillId="0" borderId="5" xfId="0" applyNumberFormat="1" applyFont="1" applyFill="1" applyBorder="1" applyAlignment="1"/>
    <xf numFmtId="49" fontId="20" fillId="0" borderId="5" xfId="0" applyNumberFormat="1" applyFont="1" applyBorder="1" applyAlignment="1">
      <alignment horizontal="left"/>
    </xf>
    <xf numFmtId="49" fontId="8" fillId="6" borderId="53" xfId="0" applyNumberFormat="1" applyFont="1" applyFill="1" applyBorder="1" applyAlignment="1"/>
    <xf numFmtId="49" fontId="23" fillId="7" borderId="14" xfId="0" applyNumberFormat="1" applyFont="1" applyFill="1" applyBorder="1" applyAlignment="1"/>
    <xf numFmtId="49" fontId="2" fillId="5" borderId="27" xfId="3" applyNumberFormat="1" applyFont="1" applyFill="1" applyBorder="1"/>
    <xf numFmtId="49" fontId="2" fillId="8" borderId="6" xfId="3" applyNumberFormat="1" applyFont="1" applyFill="1" applyBorder="1"/>
    <xf numFmtId="49" fontId="23" fillId="8" borderId="5" xfId="0" applyNumberFormat="1" applyFont="1" applyFill="1" applyBorder="1" applyAlignment="1"/>
    <xf numFmtId="0" fontId="2" fillId="5" borderId="14" xfId="3" applyFont="1" applyFill="1" applyBorder="1"/>
    <xf numFmtId="4" fontId="25" fillId="0" borderId="45" xfId="0" applyNumberFormat="1" applyFont="1" applyBorder="1" applyAlignment="1"/>
    <xf numFmtId="4" fontId="1" fillId="0" borderId="3" xfId="0" applyNumberFormat="1" applyFont="1" applyFill="1" applyBorder="1"/>
    <xf numFmtId="0" fontId="2" fillId="0" borderId="33" xfId="0" applyFont="1" applyBorder="1"/>
    <xf numFmtId="49" fontId="8" fillId="2" borderId="18" xfId="0" applyNumberFormat="1" applyFont="1" applyFill="1" applyBorder="1" applyAlignment="1"/>
    <xf numFmtId="4" fontId="25" fillId="4" borderId="9" xfId="4" applyNumberFormat="1" applyFont="1" applyFill="1" applyBorder="1"/>
    <xf numFmtId="4" fontId="25" fillId="0" borderId="24" xfId="0" applyNumberFormat="1" applyFont="1" applyBorder="1" applyAlignment="1"/>
    <xf numFmtId="4" fontId="25" fillId="4" borderId="24" xfId="0" applyNumberFormat="1" applyFont="1" applyFill="1" applyBorder="1" applyAlignment="1"/>
    <xf numFmtId="4" fontId="25" fillId="0" borderId="24" xfId="4" applyNumberFormat="1" applyFont="1" applyBorder="1"/>
    <xf numFmtId="4" fontId="25" fillId="4" borderId="49" xfId="0" applyNumberFormat="1" applyFont="1" applyFill="1" applyBorder="1" applyAlignment="1"/>
    <xf numFmtId="4" fontId="25" fillId="0" borderId="3" xfId="0" applyNumberFormat="1" applyFont="1" applyFill="1" applyBorder="1"/>
    <xf numFmtId="4" fontId="25" fillId="0" borderId="41" xfId="0" applyNumberFormat="1" applyFont="1" applyFill="1" applyBorder="1"/>
    <xf numFmtId="4" fontId="25" fillId="4" borderId="3" xfId="0" applyNumberFormat="1" applyFont="1" applyFill="1" applyBorder="1" applyAlignment="1"/>
    <xf numFmtId="4" fontId="27" fillId="0" borderId="9" xfId="0" applyNumberFormat="1" applyFont="1" applyFill="1" applyBorder="1" applyAlignment="1"/>
    <xf numFmtId="4" fontId="25" fillId="0" borderId="45" xfId="0" applyNumberFormat="1" applyFont="1" applyFill="1" applyBorder="1"/>
    <xf numFmtId="4" fontId="27" fillId="0" borderId="59" xfId="0" applyNumberFormat="1" applyFont="1" applyBorder="1" applyAlignment="1"/>
    <xf numFmtId="4" fontId="2" fillId="0" borderId="0" xfId="0" applyNumberFormat="1" applyFont="1"/>
    <xf numFmtId="0" fontId="2" fillId="0" borderId="53" xfId="0" applyFont="1" applyFill="1" applyBorder="1" applyAlignment="1">
      <alignment wrapText="1"/>
    </xf>
    <xf numFmtId="49" fontId="18" fillId="0" borderId="53" xfId="0" applyNumberFormat="1" applyFont="1" applyFill="1" applyBorder="1" applyAlignment="1"/>
    <xf numFmtId="0" fontId="21" fillId="2" borderId="8" xfId="0" applyFont="1" applyFill="1" applyBorder="1" applyAlignment="1">
      <alignment wrapText="1"/>
    </xf>
    <xf numFmtId="49" fontId="18" fillId="2" borderId="18" xfId="0" applyNumberFormat="1" applyFont="1" applyFill="1" applyBorder="1" applyAlignment="1"/>
    <xf numFmtId="4" fontId="25" fillId="2" borderId="29" xfId="0" applyNumberFormat="1" applyFont="1" applyFill="1" applyBorder="1"/>
    <xf numFmtId="4" fontId="27" fillId="2" borderId="29" xfId="0" applyNumberFormat="1" applyFont="1" applyFill="1" applyBorder="1" applyAlignment="1"/>
    <xf numFmtId="4" fontId="27" fillId="2" borderId="29" xfId="4" applyNumberFormat="1" applyFont="1" applyFill="1" applyBorder="1"/>
    <xf numFmtId="4" fontId="25" fillId="2" borderId="26" xfId="4" applyNumberFormat="1" applyFont="1" applyFill="1" applyBorder="1"/>
    <xf numFmtId="0" fontId="0" fillId="0" borderId="1" xfId="0" applyFill="1" applyBorder="1" applyAlignment="1">
      <alignment horizontal="left"/>
    </xf>
    <xf numFmtId="4" fontId="0" fillId="0" borderId="1" xfId="0" applyNumberFormat="1" applyFill="1" applyBorder="1"/>
    <xf numFmtId="4" fontId="0" fillId="0" borderId="3" xfId="0" applyNumberFormat="1" applyFill="1" applyBorder="1"/>
    <xf numFmtId="0" fontId="0" fillId="9" borderId="28" xfId="0" applyFill="1" applyBorder="1" applyAlignment="1">
      <alignment horizontal="left"/>
    </xf>
    <xf numFmtId="4" fontId="0" fillId="9" borderId="61" xfId="0" applyNumberFormat="1" applyFill="1" applyBorder="1"/>
    <xf numFmtId="0" fontId="2" fillId="0" borderId="14" xfId="0" applyFont="1" applyBorder="1"/>
    <xf numFmtId="2" fontId="2" fillId="0" borderId="6" xfId="0" applyNumberFormat="1" applyFont="1" applyFill="1" applyBorder="1" applyAlignment="1">
      <alignment vertical="top" wrapText="1"/>
    </xf>
    <xf numFmtId="49" fontId="6" fillId="0" borderId="13" xfId="0" applyNumberFormat="1" applyFont="1" applyFill="1" applyBorder="1" applyAlignment="1"/>
    <xf numFmtId="4" fontId="29" fillId="0" borderId="7" xfId="0" applyNumberFormat="1" applyFont="1" applyFill="1" applyBorder="1"/>
    <xf numFmtId="4" fontId="39" fillId="0" borderId="0" xfId="0" applyNumberFormat="1" applyFont="1" applyBorder="1" applyAlignment="1"/>
    <xf numFmtId="4" fontId="0" fillId="0" borderId="7" xfId="0" applyNumberFormat="1" applyFill="1" applyBorder="1"/>
    <xf numFmtId="4" fontId="0" fillId="0" borderId="13" xfId="0" applyNumberFormat="1" applyFill="1" applyBorder="1"/>
    <xf numFmtId="0" fontId="4" fillId="0" borderId="0" xfId="0" applyFont="1" applyBorder="1" applyAlignment="1">
      <alignment horizontal="center"/>
    </xf>
    <xf numFmtId="0" fontId="4" fillId="0" borderId="37" xfId="0" applyFont="1" applyBorder="1" applyAlignment="1">
      <alignment horizontal="center" vertical="center"/>
    </xf>
    <xf numFmtId="0" fontId="0" fillId="10" borderId="1" xfId="0" applyFill="1" applyBorder="1"/>
    <xf numFmtId="0" fontId="9" fillId="5" borderId="1" xfId="5" applyFont="1" applyFill="1" applyBorder="1" applyAlignment="1">
      <alignment wrapText="1"/>
    </xf>
    <xf numFmtId="49" fontId="9" fillId="5" borderId="1" xfId="5" applyNumberFormat="1" applyFont="1" applyFill="1" applyBorder="1" applyAlignment="1"/>
    <xf numFmtId="4" fontId="25" fillId="5" borderId="1" xfId="3" applyNumberFormat="1" applyFont="1" applyFill="1" applyBorder="1" applyAlignment="1"/>
    <xf numFmtId="4" fontId="27" fillId="4" borderId="14" xfId="0" applyNumberFormat="1" applyFont="1" applyFill="1" applyBorder="1" applyAlignment="1"/>
    <xf numFmtId="4" fontId="0" fillId="7" borderId="30" xfId="0" applyNumberFormat="1" applyFill="1" applyBorder="1"/>
    <xf numFmtId="0" fontId="0" fillId="0" borderId="1" xfId="0" applyBorder="1" applyAlignment="1">
      <alignment horizontal="right"/>
    </xf>
    <xf numFmtId="4" fontId="0" fillId="0" borderId="0" xfId="0" applyNumberFormat="1" applyFill="1" applyBorder="1"/>
    <xf numFmtId="4" fontId="41" fillId="0" borderId="0" xfId="0" applyNumberFormat="1" applyFont="1"/>
    <xf numFmtId="0" fontId="2" fillId="0" borderId="34" xfId="0" applyFont="1" applyBorder="1" applyAlignment="1">
      <alignment wrapText="1"/>
    </xf>
    <xf numFmtId="49" fontId="11" fillId="11" borderId="1" xfId="0" applyNumberFormat="1" applyFont="1" applyFill="1" applyBorder="1" applyAlignment="1">
      <alignment horizontal="center" vertical="center" wrapText="1"/>
    </xf>
    <xf numFmtId="4" fontId="11" fillId="11" borderId="1" xfId="0" applyNumberFormat="1" applyFont="1" applyFill="1" applyBorder="1" applyAlignment="1">
      <alignment horizontal="center" vertical="center" wrapText="1"/>
    </xf>
    <xf numFmtId="4" fontId="0" fillId="0" borderId="1" xfId="0" applyNumberFormat="1" applyBorder="1" applyAlignment="1">
      <alignment wrapText="1"/>
    </xf>
    <xf numFmtId="0" fontId="21" fillId="8" borderId="1" xfId="0" applyFont="1" applyFill="1" applyBorder="1" applyAlignment="1">
      <alignment wrapText="1"/>
    </xf>
    <xf numFmtId="0" fontId="0" fillId="8" borderId="1" xfId="0" applyFill="1" applyBorder="1"/>
    <xf numFmtId="4" fontId="0" fillId="8" borderId="1" xfId="0" applyNumberFormat="1" applyFill="1" applyBorder="1" applyAlignment="1">
      <alignment wrapText="1"/>
    </xf>
    <xf numFmtId="0" fontId="0" fillId="12" borderId="1" xfId="0" applyFill="1" applyBorder="1" applyAlignment="1">
      <alignment wrapText="1"/>
    </xf>
    <xf numFmtId="0" fontId="0" fillId="12" borderId="1" xfId="0" applyFill="1" applyBorder="1"/>
    <xf numFmtId="4" fontId="0" fillId="12" borderId="1" xfId="0" applyNumberFormat="1" applyFill="1" applyBorder="1" applyAlignment="1">
      <alignment wrapText="1"/>
    </xf>
    <xf numFmtId="0" fontId="12" fillId="8" borderId="1" xfId="0" applyFont="1" applyFill="1" applyBorder="1"/>
    <xf numFmtId="4" fontId="12" fillId="8" borderId="1" xfId="0" applyNumberFormat="1" applyFont="1" applyFill="1" applyBorder="1" applyAlignment="1">
      <alignment wrapText="1"/>
    </xf>
    <xf numFmtId="0" fontId="17" fillId="12" borderId="1" xfId="0" applyFont="1" applyFill="1" applyBorder="1"/>
    <xf numFmtId="4" fontId="17" fillId="12" borderId="1" xfId="0" applyNumberFormat="1" applyFont="1" applyFill="1" applyBorder="1" applyAlignment="1">
      <alignment wrapText="1"/>
    </xf>
    <xf numFmtId="0" fontId="0" fillId="10" borderId="1" xfId="0" applyFill="1" applyBorder="1" applyAlignment="1">
      <alignment wrapText="1"/>
    </xf>
    <xf numFmtId="4" fontId="0" fillId="10" borderId="1" xfId="0" applyNumberFormat="1" applyFill="1" applyBorder="1" applyAlignment="1">
      <alignment wrapText="1"/>
    </xf>
    <xf numFmtId="0" fontId="12" fillId="12" borderId="1" xfId="0" applyFont="1" applyFill="1" applyBorder="1" applyAlignment="1">
      <alignment wrapText="1"/>
    </xf>
    <xf numFmtId="0" fontId="12" fillId="12" borderId="1" xfId="0" applyFont="1" applyFill="1" applyBorder="1"/>
    <xf numFmtId="4" fontId="12" fillId="12" borderId="1" xfId="0" applyNumberFormat="1" applyFont="1" applyFill="1" applyBorder="1" applyAlignment="1">
      <alignment wrapText="1"/>
    </xf>
    <xf numFmtId="4" fontId="27" fillId="0" borderId="3" xfId="0" applyNumberFormat="1" applyFont="1" applyBorder="1" applyAlignment="1"/>
    <xf numFmtId="4" fontId="25" fillId="0" borderId="2" xfId="0" applyNumberFormat="1" applyFont="1" applyFill="1" applyBorder="1"/>
    <xf numFmtId="4" fontId="27" fillId="0" borderId="33" xfId="0" applyNumberFormat="1" applyFont="1" applyBorder="1" applyAlignment="1"/>
    <xf numFmtId="0" fontId="40" fillId="0" borderId="0" xfId="0" applyFont="1"/>
    <xf numFmtId="49" fontId="40" fillId="0" borderId="1" xfId="0" applyNumberFormat="1" applyFont="1" applyBorder="1" applyAlignment="1">
      <alignment vertical="center" wrapText="1"/>
    </xf>
    <xf numFmtId="49" fontId="20" fillId="0" borderId="3" xfId="3" applyNumberFormat="1" applyFont="1" applyFill="1" applyBorder="1" applyAlignment="1"/>
    <xf numFmtId="49" fontId="2" fillId="0" borderId="41" xfId="0" applyNumberFormat="1" applyFont="1" applyFill="1" applyBorder="1" applyAlignment="1">
      <alignment horizontal="right" wrapText="1"/>
    </xf>
    <xf numFmtId="4" fontId="2" fillId="0" borderId="3" xfId="0" applyNumberFormat="1" applyFont="1" applyFill="1" applyBorder="1"/>
    <xf numFmtId="49" fontId="6" fillId="0" borderId="3" xfId="0" applyNumberFormat="1" applyFont="1" applyFill="1" applyBorder="1"/>
    <xf numFmtId="4" fontId="25" fillId="0" borderId="50" xfId="0" applyNumberFormat="1" applyFont="1" applyBorder="1" applyAlignment="1"/>
    <xf numFmtId="4" fontId="25" fillId="0" borderId="50" xfId="4" applyNumberFormat="1" applyFont="1" applyBorder="1"/>
    <xf numFmtId="49" fontId="18" fillId="0" borderId="58" xfId="0" applyNumberFormat="1" applyFont="1" applyBorder="1" applyAlignment="1"/>
    <xf numFmtId="4" fontId="25" fillId="0" borderId="56" xfId="0" applyNumberFormat="1" applyFont="1" applyFill="1" applyBorder="1"/>
    <xf numFmtId="4" fontId="27" fillId="0" borderId="13" xfId="0" applyNumberFormat="1" applyFont="1" applyBorder="1" applyAlignment="1"/>
    <xf numFmtId="2" fontId="16" fillId="5" borderId="5" xfId="3" applyNumberFormat="1" applyFont="1" applyFill="1" applyBorder="1" applyAlignment="1">
      <alignment vertical="top" wrapText="1"/>
    </xf>
    <xf numFmtId="4" fontId="26" fillId="5" borderId="1" xfId="3" applyNumberFormat="1" applyFont="1" applyFill="1" applyBorder="1" applyAlignment="1"/>
    <xf numFmtId="4" fontId="26" fillId="5" borderId="16" xfId="3" applyNumberFormat="1" applyFont="1" applyFill="1" applyBorder="1" applyAlignment="1"/>
    <xf numFmtId="2" fontId="16" fillId="5" borderId="55" xfId="3" applyNumberFormat="1" applyFont="1" applyFill="1" applyBorder="1" applyAlignment="1">
      <alignment vertical="top" wrapText="1"/>
    </xf>
    <xf numFmtId="49" fontId="6" fillId="5" borderId="3" xfId="0" applyNumberFormat="1" applyFont="1" applyFill="1" applyBorder="1" applyAlignment="1"/>
    <xf numFmtId="4" fontId="25" fillId="5" borderId="37" xfId="0" applyNumberFormat="1" applyFont="1" applyFill="1" applyBorder="1"/>
    <xf numFmtId="4" fontId="26" fillId="5" borderId="37" xfId="3" applyNumberFormat="1" applyFont="1" applyFill="1" applyBorder="1" applyAlignment="1"/>
    <xf numFmtId="4" fontId="26" fillId="5" borderId="38" xfId="3" applyNumberFormat="1" applyFont="1" applyFill="1" applyBorder="1" applyAlignment="1"/>
    <xf numFmtId="2" fontId="16" fillId="5" borderId="4" xfId="3" applyNumberFormat="1" applyFont="1" applyFill="1" applyBorder="1" applyAlignment="1">
      <alignment vertical="top" wrapText="1"/>
    </xf>
    <xf numFmtId="49" fontId="19" fillId="5" borderId="33" xfId="3" applyNumberFormat="1" applyFont="1" applyFill="1" applyBorder="1" applyAlignment="1"/>
    <xf numFmtId="4" fontId="26" fillId="5" borderId="9" xfId="3" applyNumberFormat="1" applyFont="1" applyFill="1" applyBorder="1" applyAlignment="1"/>
    <xf numFmtId="4" fontId="26" fillId="5" borderId="31" xfId="3" applyNumberFormat="1" applyFont="1" applyFill="1" applyBorder="1" applyAlignment="1"/>
    <xf numFmtId="0" fontId="16" fillId="7" borderId="14" xfId="0" applyFont="1" applyFill="1" applyBorder="1" applyAlignment="1">
      <alignment wrapText="1"/>
    </xf>
    <xf numFmtId="0" fontId="2" fillId="5" borderId="1" xfId="3" applyFont="1" applyFill="1" applyBorder="1"/>
    <xf numFmtId="4" fontId="27" fillId="5" borderId="1" xfId="3" applyNumberFormat="1" applyFont="1" applyFill="1" applyBorder="1"/>
    <xf numFmtId="0" fontId="16" fillId="5" borderId="1" xfId="0" applyFont="1" applyFill="1" applyBorder="1" applyAlignment="1">
      <alignment wrapText="1"/>
    </xf>
    <xf numFmtId="49" fontId="23" fillId="5" borderId="1" xfId="0" applyNumberFormat="1" applyFont="1" applyFill="1" applyBorder="1" applyAlignment="1"/>
    <xf numFmtId="4" fontId="26" fillId="5" borderId="1" xfId="0" applyNumberFormat="1" applyFont="1" applyFill="1" applyBorder="1" applyAlignment="1"/>
    <xf numFmtId="49" fontId="2" fillId="8" borderId="11" xfId="3" applyNumberFormat="1" applyFont="1" applyFill="1" applyBorder="1"/>
    <xf numFmtId="49" fontId="18" fillId="12" borderId="1" xfId="0" applyNumberFormat="1" applyFont="1" applyFill="1" applyBorder="1" applyAlignment="1"/>
    <xf numFmtId="0" fontId="9" fillId="5" borderId="5" xfId="5" applyFont="1" applyFill="1" applyBorder="1" applyAlignment="1">
      <alignment wrapText="1"/>
    </xf>
    <xf numFmtId="4" fontId="25" fillId="5" borderId="3" xfId="3" applyNumberFormat="1" applyFont="1" applyFill="1" applyBorder="1" applyAlignment="1"/>
    <xf numFmtId="2" fontId="16" fillId="0" borderId="14" xfId="3" applyNumberFormat="1" applyFont="1" applyFill="1" applyBorder="1" applyAlignment="1">
      <alignment vertical="top" wrapText="1"/>
    </xf>
    <xf numFmtId="49" fontId="6" fillId="0" borderId="19" xfId="0" applyNumberFormat="1" applyFont="1" applyFill="1" applyBorder="1" applyAlignment="1"/>
    <xf numFmtId="4" fontId="25" fillId="0" borderId="19" xfId="0" applyNumberFormat="1" applyFont="1" applyFill="1" applyBorder="1"/>
    <xf numFmtId="4" fontId="26" fillId="0" borderId="14" xfId="3" applyNumberFormat="1" applyFont="1" applyFill="1" applyBorder="1" applyAlignment="1"/>
    <xf numFmtId="4" fontId="26" fillId="0" borderId="66" xfId="3" applyNumberFormat="1" applyFont="1" applyFill="1" applyBorder="1" applyAlignment="1"/>
    <xf numFmtId="4" fontId="26" fillId="0" borderId="0" xfId="3" applyNumberFormat="1" applyFont="1" applyFill="1" applyBorder="1" applyAlignment="1">
      <alignment horizontal="center"/>
    </xf>
    <xf numFmtId="2" fontId="16" fillId="7" borderId="1" xfId="3" applyNumberFormat="1" applyFont="1" applyFill="1" applyBorder="1" applyAlignment="1">
      <alignment vertical="top" wrapText="1"/>
    </xf>
    <xf numFmtId="49" fontId="6" fillId="7" borderId="1" xfId="0" applyNumberFormat="1" applyFont="1" applyFill="1" applyBorder="1" applyAlignment="1"/>
    <xf numFmtId="2" fontId="16" fillId="0" borderId="0" xfId="3" applyNumberFormat="1" applyFont="1" applyFill="1" applyBorder="1" applyAlignment="1">
      <alignment vertical="top" wrapText="1"/>
    </xf>
    <xf numFmtId="49" fontId="6" fillId="0" borderId="0" xfId="0" applyNumberFormat="1" applyFont="1" applyFill="1" applyBorder="1" applyAlignment="1"/>
    <xf numFmtId="4" fontId="21" fillId="0" borderId="0" xfId="0" applyNumberFormat="1" applyFont="1" applyAlignment="1">
      <alignment horizontal="center"/>
    </xf>
    <xf numFmtId="4" fontId="27" fillId="0" borderId="39" xfId="4" applyNumberFormat="1" applyFont="1" applyBorder="1"/>
    <xf numFmtId="4" fontId="25" fillId="12" borderId="1" xfId="3" applyNumberFormat="1" applyFont="1" applyFill="1" applyBorder="1" applyAlignment="1"/>
    <xf numFmtId="0" fontId="4" fillId="0" borderId="55" xfId="0" applyFont="1" applyBorder="1" applyAlignment="1">
      <alignment horizontal="center" vertical="center"/>
    </xf>
    <xf numFmtId="4" fontId="27" fillId="0" borderId="1" xfId="0" applyNumberFormat="1" applyFont="1" applyFill="1" applyBorder="1" applyAlignment="1"/>
    <xf numFmtId="4" fontId="25" fillId="0" borderId="29" xfId="4" applyNumberFormat="1" applyFont="1" applyFill="1" applyBorder="1"/>
    <xf numFmtId="4" fontId="27" fillId="13" borderId="39" xfId="0" applyNumberFormat="1" applyFont="1" applyFill="1" applyBorder="1" applyAlignment="1"/>
    <xf numFmtId="4" fontId="27" fillId="0" borderId="7" xfId="0" applyNumberFormat="1" applyFont="1" applyFill="1" applyBorder="1" applyAlignment="1"/>
    <xf numFmtId="0" fontId="4" fillId="0" borderId="3" xfId="0" applyFont="1" applyBorder="1" applyAlignment="1">
      <alignment horizontal="center"/>
    </xf>
    <xf numFmtId="0" fontId="7" fillId="0" borderId="0" xfId="0" applyFont="1"/>
    <xf numFmtId="0" fontId="4" fillId="0" borderId="13" xfId="0" applyFont="1" applyBorder="1" applyAlignment="1">
      <alignment horizontal="center"/>
    </xf>
    <xf numFmtId="0" fontId="4" fillId="0" borderId="9" xfId="0" applyFont="1" applyBorder="1" applyAlignment="1">
      <alignment horizontal="center"/>
    </xf>
    <xf numFmtId="0" fontId="4" fillId="0" borderId="33" xfId="0" applyFont="1" applyBorder="1" applyAlignment="1">
      <alignment horizontal="center"/>
    </xf>
    <xf numFmtId="49" fontId="43" fillId="0" borderId="46" xfId="0" applyNumberFormat="1" applyFont="1" applyBorder="1" applyAlignment="1">
      <alignment horizontal="center"/>
    </xf>
    <xf numFmtId="0" fontId="44" fillId="0" borderId="0" xfId="0" applyFont="1" applyAlignment="1">
      <alignment horizontal="left" wrapText="1"/>
    </xf>
    <xf numFmtId="0" fontId="44" fillId="0" borderId="56" xfId="0" applyFont="1" applyBorder="1" applyAlignment="1">
      <alignment horizontal="left" wrapText="1"/>
    </xf>
    <xf numFmtId="49" fontId="4" fillId="0" borderId="12" xfId="0" applyNumberFormat="1" applyFont="1" applyBorder="1" applyAlignment="1">
      <alignment horizontal="center"/>
    </xf>
    <xf numFmtId="0" fontId="44" fillId="0" borderId="2" xfId="0" applyFont="1" applyBorder="1" applyAlignment="1">
      <alignment horizontal="left" wrapText="1"/>
    </xf>
    <xf numFmtId="49" fontId="4" fillId="0" borderId="17" xfId="0" applyNumberFormat="1" applyFont="1" applyBorder="1" applyAlignment="1">
      <alignment horizontal="center" wrapText="1"/>
    </xf>
    <xf numFmtId="0" fontId="44" fillId="0" borderId="41" xfId="0" applyFont="1" applyBorder="1" applyAlignment="1">
      <alignment horizontal="left" wrapText="1"/>
    </xf>
    <xf numFmtId="49" fontId="43" fillId="0" borderId="17" xfId="0" applyNumberFormat="1" applyFont="1" applyBorder="1" applyAlignment="1">
      <alignment horizontal="center"/>
    </xf>
    <xf numFmtId="49" fontId="43" fillId="0" borderId="17" xfId="0" applyNumberFormat="1" applyFont="1" applyFill="1" applyBorder="1" applyAlignment="1">
      <alignment horizontal="center"/>
    </xf>
    <xf numFmtId="0" fontId="44" fillId="0" borderId="0" xfId="0" applyFont="1" applyBorder="1" applyAlignment="1">
      <alignment horizontal="left" wrapText="1"/>
    </xf>
    <xf numFmtId="49" fontId="4" fillId="0" borderId="44" xfId="0" applyNumberFormat="1" applyFont="1" applyFill="1" applyBorder="1" applyAlignment="1">
      <alignment horizontal="center"/>
    </xf>
    <xf numFmtId="49" fontId="4" fillId="0" borderId="15" xfId="0" applyNumberFormat="1" applyFont="1" applyBorder="1" applyAlignment="1">
      <alignment horizontal="center"/>
    </xf>
    <xf numFmtId="49" fontId="4" fillId="0" borderId="17" xfId="0" applyNumberFormat="1" applyFont="1" applyFill="1" applyBorder="1" applyAlignment="1">
      <alignment horizontal="center"/>
    </xf>
    <xf numFmtId="49" fontId="43" fillId="0" borderId="12" xfId="0" applyNumberFormat="1" applyFont="1" applyBorder="1" applyAlignment="1">
      <alignment horizontal="center"/>
    </xf>
    <xf numFmtId="0" fontId="5" fillId="0" borderId="2" xfId="0" applyFont="1" applyBorder="1" applyAlignment="1">
      <alignment horizontal="left" wrapText="1"/>
    </xf>
    <xf numFmtId="0" fontId="5" fillId="0" borderId="56" xfId="0" applyFont="1" applyBorder="1" applyAlignment="1">
      <alignment horizontal="left" wrapText="1"/>
    </xf>
    <xf numFmtId="0" fontId="5" fillId="0" borderId="41" xfId="0" applyFont="1" applyBorder="1" applyAlignment="1">
      <alignment horizontal="left" wrapText="1"/>
    </xf>
    <xf numFmtId="49" fontId="4" fillId="0" borderId="67" xfId="0" applyNumberFormat="1" applyFont="1" applyBorder="1" applyAlignment="1">
      <alignment horizontal="center"/>
    </xf>
    <xf numFmtId="0" fontId="5" fillId="0" borderId="0" xfId="0" applyFont="1" applyBorder="1" applyAlignment="1">
      <alignment horizontal="left" wrapText="1"/>
    </xf>
    <xf numFmtId="49" fontId="4" fillId="0" borderId="62" xfId="0" applyNumberFormat="1" applyFont="1" applyBorder="1" applyAlignment="1">
      <alignment horizontal="center"/>
    </xf>
    <xf numFmtId="49" fontId="43" fillId="0" borderId="62" xfId="0" applyNumberFormat="1" applyFont="1" applyBorder="1" applyAlignment="1">
      <alignment horizontal="center"/>
    </xf>
    <xf numFmtId="0" fontId="43" fillId="0" borderId="0" xfId="0" applyFont="1" applyBorder="1"/>
    <xf numFmtId="49" fontId="43" fillId="0" borderId="47" xfId="0" applyNumberFormat="1" applyFont="1" applyBorder="1" applyAlignment="1">
      <alignment horizontal="center"/>
    </xf>
    <xf numFmtId="0" fontId="5" fillId="0" borderId="0" xfId="0" applyFont="1" applyBorder="1" applyAlignment="1">
      <alignment horizontal="left"/>
    </xf>
    <xf numFmtId="0" fontId="40" fillId="0" borderId="0" xfId="0" applyFont="1" applyBorder="1" applyAlignment="1"/>
    <xf numFmtId="0" fontId="14" fillId="0" borderId="0" xfId="0" applyFont="1" applyAlignment="1"/>
    <xf numFmtId="0" fontId="14" fillId="0" borderId="0" xfId="0" applyFont="1" applyBorder="1" applyAlignment="1"/>
    <xf numFmtId="0" fontId="44" fillId="0" borderId="1" xfId="0" applyFont="1" applyBorder="1" applyAlignment="1">
      <alignment horizontal="left" wrapText="1"/>
    </xf>
    <xf numFmtId="2" fontId="43" fillId="0" borderId="1" xfId="0" applyNumberFormat="1" applyFont="1" applyBorder="1" applyAlignment="1">
      <alignment horizontal="right" shrinkToFit="1"/>
    </xf>
    <xf numFmtId="2" fontId="43" fillId="0" borderId="1" xfId="0" applyNumberFormat="1" applyFont="1" applyBorder="1" applyAlignment="1">
      <alignment horizontal="right"/>
    </xf>
    <xf numFmtId="49" fontId="4" fillId="0" borderId="65" xfId="0" applyNumberFormat="1" applyFont="1" applyBorder="1" applyAlignment="1">
      <alignment horizontal="center"/>
    </xf>
    <xf numFmtId="2" fontId="43" fillId="0" borderId="9" xfId="0" applyNumberFormat="1" applyFont="1" applyBorder="1" applyAlignment="1">
      <alignment horizontal="right" shrinkToFit="1"/>
    </xf>
    <xf numFmtId="2" fontId="43" fillId="0" borderId="0" xfId="0" applyNumberFormat="1" applyFont="1" applyBorder="1" applyAlignment="1">
      <alignment horizontal="right"/>
    </xf>
    <xf numFmtId="0" fontId="40" fillId="0" borderId="0" xfId="0" applyFont="1" applyAlignment="1">
      <alignment horizontal="left"/>
    </xf>
    <xf numFmtId="14" fontId="40" fillId="0" borderId="0" xfId="0" applyNumberFormat="1" applyFont="1"/>
    <xf numFmtId="0" fontId="4" fillId="0" borderId="0" xfId="0" applyFont="1" applyAlignment="1">
      <alignment horizontal="right" indent="1"/>
    </xf>
    <xf numFmtId="14" fontId="4" fillId="0" borderId="22" xfId="0" applyNumberFormat="1" applyFont="1" applyBorder="1" applyAlignment="1">
      <alignment horizontal="center"/>
    </xf>
    <xf numFmtId="0" fontId="10" fillId="0" borderId="2" xfId="0" applyFont="1" applyBorder="1"/>
    <xf numFmtId="0" fontId="40" fillId="0" borderId="2" xfId="0" applyFont="1" applyBorder="1"/>
    <xf numFmtId="49" fontId="4" fillId="0" borderId="43" xfId="0" applyNumberFormat="1" applyFont="1" applyBorder="1" applyAlignment="1">
      <alignment horizontal="center" shrinkToFit="1"/>
    </xf>
    <xf numFmtId="0" fontId="4" fillId="0" borderId="55" xfId="0" applyFont="1" applyBorder="1" applyAlignment="1">
      <alignment horizontal="center"/>
    </xf>
    <xf numFmtId="49" fontId="4" fillId="0" borderId="37" xfId="0" applyNumberFormat="1" applyFont="1" applyBorder="1" applyAlignment="1">
      <alignment horizontal="center" vertical="center"/>
    </xf>
    <xf numFmtId="0" fontId="10" fillId="0" borderId="3" xfId="0" applyNumberFormat="1" applyFont="1" applyBorder="1" applyAlignment="1">
      <alignment horizontal="left" wrapText="1"/>
    </xf>
    <xf numFmtId="49" fontId="4" fillId="0" borderId="41" xfId="0" applyNumberFormat="1" applyFont="1" applyBorder="1" applyAlignment="1">
      <alignment horizontal="center" wrapText="1"/>
    </xf>
    <xf numFmtId="49" fontId="4" fillId="0" borderId="3" xfId="0" applyNumberFormat="1" applyFont="1" applyBorder="1" applyAlignment="1">
      <alignment horizontal="center" wrapText="1"/>
    </xf>
    <xf numFmtId="49" fontId="4" fillId="0" borderId="9" xfId="0" applyNumberFormat="1" applyFont="1" applyBorder="1" applyAlignment="1">
      <alignment horizontal="center" wrapText="1"/>
    </xf>
    <xf numFmtId="39" fontId="4" fillId="0" borderId="9" xfId="0" applyNumberFormat="1" applyFont="1" applyBorder="1" applyAlignment="1">
      <alignment shrinkToFit="1"/>
    </xf>
    <xf numFmtId="49" fontId="4" fillId="0" borderId="31" xfId="0" applyNumberFormat="1" applyFont="1" applyBorder="1" applyAlignment="1">
      <alignment horizontal="center" wrapText="1"/>
    </xf>
    <xf numFmtId="0" fontId="10" fillId="0" borderId="66" xfId="0" applyNumberFormat="1" applyFont="1" applyBorder="1" applyAlignment="1">
      <alignment horizontal="right" wrapText="1"/>
    </xf>
    <xf numFmtId="0" fontId="10" fillId="0" borderId="0" xfId="0" applyFont="1"/>
    <xf numFmtId="0" fontId="40" fillId="0" borderId="56" xfId="0" applyFont="1" applyBorder="1"/>
    <xf numFmtId="4" fontId="0" fillId="0" borderId="9" xfId="0" applyNumberFormat="1" applyFill="1" applyBorder="1"/>
    <xf numFmtId="4" fontId="0" fillId="0" borderId="33" xfId="0" applyNumberFormat="1" applyFill="1" applyBorder="1"/>
    <xf numFmtId="0" fontId="0" fillId="0" borderId="1" xfId="0" applyFill="1" applyBorder="1" applyAlignment="1">
      <alignment horizontal="right"/>
    </xf>
    <xf numFmtId="0" fontId="0" fillId="0" borderId="9" xfId="0" applyFill="1" applyBorder="1" applyAlignment="1">
      <alignment horizontal="right"/>
    </xf>
    <xf numFmtId="0" fontId="0" fillId="0" borderId="7" xfId="0" applyFill="1" applyBorder="1" applyAlignment="1">
      <alignment horizontal="right"/>
    </xf>
    <xf numFmtId="0" fontId="0" fillId="3" borderId="9" xfId="0" applyFill="1" applyBorder="1" applyAlignment="1">
      <alignment horizontal="left"/>
    </xf>
    <xf numFmtId="4" fontId="0" fillId="3" borderId="9" xfId="0" applyNumberFormat="1" applyFill="1" applyBorder="1"/>
    <xf numFmtId="4" fontId="0" fillId="3" borderId="30" xfId="0" applyNumberFormat="1" applyFill="1" applyBorder="1"/>
    <xf numFmtId="0" fontId="0" fillId="3" borderId="1" xfId="0" applyFill="1" applyBorder="1" applyAlignment="1">
      <alignment horizontal="left"/>
    </xf>
    <xf numFmtId="4" fontId="0" fillId="3" borderId="1" xfId="0" applyNumberFormat="1" applyFill="1" applyBorder="1"/>
    <xf numFmtId="4" fontId="0" fillId="3" borderId="3" xfId="0" applyNumberFormat="1" applyFill="1" applyBorder="1"/>
    <xf numFmtId="0" fontId="0" fillId="3" borderId="7" xfId="0" applyFill="1" applyBorder="1" applyAlignment="1">
      <alignment horizontal="right"/>
    </xf>
    <xf numFmtId="4" fontId="0" fillId="3" borderId="7" xfId="0" applyNumberFormat="1" applyFill="1" applyBorder="1"/>
    <xf numFmtId="4" fontId="0" fillId="3" borderId="13" xfId="0" applyNumberFormat="1" applyFill="1" applyBorder="1"/>
    <xf numFmtId="4" fontId="25" fillId="4" borderId="16" xfId="0" applyNumberFormat="1" applyFont="1" applyFill="1" applyBorder="1" applyAlignment="1"/>
    <xf numFmtId="49" fontId="18" fillId="0" borderId="33" xfId="0" applyNumberFormat="1" applyFont="1" applyBorder="1" applyAlignment="1"/>
    <xf numFmtId="4" fontId="25" fillId="4" borderId="7" xfId="3" applyNumberFormat="1" applyFont="1" applyFill="1" applyBorder="1" applyAlignment="1"/>
    <xf numFmtId="4" fontId="25" fillId="0" borderId="1" xfId="3" applyNumberFormat="1" applyFont="1" applyFill="1" applyBorder="1" applyAlignment="1"/>
    <xf numFmtId="4" fontId="10" fillId="0" borderId="1" xfId="0" applyNumberFormat="1" applyFont="1" applyFill="1" applyBorder="1"/>
    <xf numFmtId="4" fontId="10" fillId="0" borderId="3" xfId="0" applyNumberFormat="1" applyFont="1" applyFill="1" applyBorder="1"/>
    <xf numFmtId="0" fontId="10" fillId="0" borderId="1" xfId="0" applyFont="1" applyFill="1" applyBorder="1" applyAlignment="1">
      <alignment horizontal="right"/>
    </xf>
    <xf numFmtId="0" fontId="8" fillId="0" borderId="58" xfId="0" applyFont="1" applyBorder="1" applyAlignment="1">
      <alignment wrapText="1"/>
    </xf>
    <xf numFmtId="4" fontId="25" fillId="0" borderId="50" xfId="0" applyNumberFormat="1" applyFont="1" applyFill="1" applyBorder="1" applyAlignment="1"/>
    <xf numFmtId="4" fontId="25" fillId="0" borderId="4" xfId="0" applyNumberFormat="1" applyFont="1" applyFill="1" applyBorder="1"/>
    <xf numFmtId="0" fontId="0" fillId="0" borderId="25" xfId="0" applyBorder="1"/>
    <xf numFmtId="4" fontId="25" fillId="0" borderId="7" xfId="4" applyNumberFormat="1" applyFont="1" applyFill="1" applyBorder="1"/>
    <xf numFmtId="4" fontId="27" fillId="0" borderId="7" xfId="4" applyNumberFormat="1" applyFont="1" applyFill="1" applyBorder="1"/>
    <xf numFmtId="49" fontId="20" fillId="0" borderId="7" xfId="0" applyNumberFormat="1" applyFont="1" applyFill="1" applyBorder="1" applyAlignment="1"/>
    <xf numFmtId="49" fontId="20" fillId="0" borderId="9" xfId="0" applyNumberFormat="1" applyFont="1" applyFill="1" applyBorder="1" applyAlignment="1"/>
    <xf numFmtId="4" fontId="27" fillId="0" borderId="9" xfId="4" applyNumberFormat="1" applyFont="1" applyFill="1" applyBorder="1"/>
    <xf numFmtId="49" fontId="20" fillId="0" borderId="11" xfId="0" applyNumberFormat="1" applyFont="1" applyFill="1" applyBorder="1" applyAlignment="1"/>
    <xf numFmtId="4" fontId="25" fillId="0" borderId="11" xfId="4" applyNumberFormat="1" applyFont="1" applyFill="1" applyBorder="1"/>
    <xf numFmtId="0" fontId="2" fillId="0" borderId="8" xfId="0" applyFont="1" applyBorder="1" applyAlignment="1">
      <alignment wrapText="1"/>
    </xf>
    <xf numFmtId="4" fontId="25" fillId="8" borderId="29" xfId="4" applyNumberFormat="1" applyFont="1" applyFill="1" applyBorder="1"/>
    <xf numFmtId="4" fontId="25" fillId="8" borderId="29" xfId="0" applyNumberFormat="1" applyFont="1" applyFill="1" applyBorder="1" applyAlignment="1"/>
    <xf numFmtId="4" fontId="25" fillId="8" borderId="50" xfId="0" applyNumberFormat="1" applyFont="1" applyFill="1" applyBorder="1"/>
    <xf numFmtId="4" fontId="27" fillId="8" borderId="50" xfId="0" applyNumberFormat="1" applyFont="1" applyFill="1" applyBorder="1" applyAlignment="1"/>
    <xf numFmtId="4" fontId="27" fillId="8" borderId="50" xfId="4" applyNumberFormat="1" applyFont="1" applyFill="1" applyBorder="1"/>
    <xf numFmtId="4" fontId="25" fillId="8" borderId="29" xfId="0" applyNumberFormat="1" applyFont="1" applyFill="1" applyBorder="1"/>
    <xf numFmtId="49" fontId="18" fillId="8" borderId="29" xfId="0" applyNumberFormat="1" applyFont="1" applyFill="1" applyBorder="1" applyAlignment="1"/>
    <xf numFmtId="4" fontId="25" fillId="8" borderId="26" xfId="0" applyNumberFormat="1" applyFont="1" applyFill="1" applyBorder="1" applyAlignment="1"/>
    <xf numFmtId="49" fontId="21" fillId="8" borderId="18" xfId="0" applyNumberFormat="1" applyFont="1" applyFill="1" applyBorder="1" applyAlignment="1"/>
    <xf numFmtId="4" fontId="27" fillId="8" borderId="29" xfId="0" applyNumberFormat="1" applyFont="1" applyFill="1" applyBorder="1" applyAlignment="1"/>
    <xf numFmtId="49" fontId="21" fillId="8" borderId="50" xfId="0" applyNumberFormat="1" applyFont="1" applyFill="1" applyBorder="1" applyAlignment="1"/>
    <xf numFmtId="4" fontId="27" fillId="8" borderId="26" xfId="0" applyNumberFormat="1" applyFont="1" applyFill="1" applyBorder="1" applyAlignment="1"/>
    <xf numFmtId="0" fontId="21" fillId="8" borderId="8" xfId="0" applyFont="1" applyFill="1" applyBorder="1" applyAlignment="1">
      <alignment wrapText="1"/>
    </xf>
    <xf numFmtId="0" fontId="2" fillId="0" borderId="6" xfId="0" applyFont="1" applyFill="1" applyBorder="1" applyAlignment="1">
      <alignment wrapText="1"/>
    </xf>
    <xf numFmtId="4" fontId="41" fillId="0" borderId="1" xfId="0" applyNumberFormat="1" applyFont="1" applyBorder="1"/>
    <xf numFmtId="0" fontId="1" fillId="8" borderId="50" xfId="0" applyFont="1" applyFill="1" applyBorder="1" applyAlignment="1">
      <alignment wrapText="1"/>
    </xf>
    <xf numFmtId="49" fontId="20" fillId="0" borderId="11" xfId="0" applyNumberFormat="1" applyFont="1" applyBorder="1" applyAlignment="1"/>
    <xf numFmtId="2" fontId="0" fillId="0" borderId="0" xfId="0" applyNumberFormat="1"/>
    <xf numFmtId="39" fontId="4" fillId="0" borderId="9" xfId="0" applyNumberFormat="1" applyFont="1" applyFill="1" applyBorder="1" applyAlignment="1">
      <alignment shrinkToFit="1"/>
    </xf>
    <xf numFmtId="2" fontId="16" fillId="3" borderId="4" xfId="3" applyNumberFormat="1" applyFont="1" applyFill="1" applyBorder="1" applyAlignment="1">
      <alignment vertical="top" wrapText="1"/>
    </xf>
    <xf numFmtId="49" fontId="19" fillId="3" borderId="9" xfId="3" applyNumberFormat="1" applyFont="1" applyFill="1" applyBorder="1" applyAlignment="1"/>
    <xf numFmtId="4" fontId="26" fillId="3" borderId="9" xfId="3" applyNumberFormat="1" applyFont="1" applyFill="1" applyBorder="1" applyAlignment="1"/>
    <xf numFmtId="4" fontId="26" fillId="3" borderId="31" xfId="3" applyNumberFormat="1" applyFont="1" applyFill="1" applyBorder="1" applyAlignment="1"/>
    <xf numFmtId="2" fontId="2" fillId="0" borderId="1" xfId="0" applyNumberFormat="1" applyFont="1" applyBorder="1" applyAlignment="1">
      <alignment vertical="top" wrapText="1"/>
    </xf>
    <xf numFmtId="49" fontId="13" fillId="0" borderId="1" xfId="3" applyNumberFormat="1" applyFont="1" applyBorder="1" applyAlignment="1"/>
    <xf numFmtId="4" fontId="27" fillId="0" borderId="0" xfId="3" applyNumberFormat="1" applyFont="1" applyFill="1" applyBorder="1" applyAlignment="1"/>
    <xf numFmtId="49" fontId="20" fillId="0" borderId="20" xfId="0" applyNumberFormat="1" applyFont="1" applyBorder="1" applyAlignment="1"/>
    <xf numFmtId="49" fontId="20" fillId="0" borderId="46" xfId="0" applyNumberFormat="1" applyFont="1" applyBorder="1" applyAlignment="1"/>
    <xf numFmtId="49" fontId="18" fillId="0" borderId="10" xfId="0" applyNumberFormat="1" applyFont="1" applyBorder="1" applyAlignment="1"/>
    <xf numFmtId="4" fontId="25" fillId="0" borderId="33" xfId="0" applyNumberFormat="1" applyFont="1" applyFill="1" applyBorder="1"/>
    <xf numFmtId="4" fontId="25" fillId="0" borderId="33" xfId="0" applyNumberFormat="1" applyFont="1" applyBorder="1" applyAlignment="1"/>
    <xf numFmtId="4" fontId="25" fillId="4" borderId="31" xfId="0" applyNumberFormat="1" applyFont="1" applyFill="1" applyBorder="1" applyAlignment="1"/>
    <xf numFmtId="4" fontId="1" fillId="0" borderId="3" xfId="3" applyNumberFormat="1" applyFont="1" applyFill="1" applyBorder="1" applyAlignment="1"/>
    <xf numFmtId="4" fontId="2" fillId="5" borderId="3" xfId="0" applyNumberFormat="1" applyFont="1" applyFill="1" applyBorder="1"/>
    <xf numFmtId="4" fontId="2" fillId="0" borderId="33" xfId="0" applyNumberFormat="1" applyFont="1" applyFill="1" applyBorder="1"/>
    <xf numFmtId="4" fontId="2" fillId="0" borderId="41" xfId="0" applyNumberFormat="1" applyFont="1" applyBorder="1" applyAlignment="1">
      <alignment horizontal="right"/>
    </xf>
    <xf numFmtId="4" fontId="2" fillId="0" borderId="41" xfId="0" applyNumberFormat="1" applyFont="1" applyBorder="1"/>
    <xf numFmtId="4" fontId="15" fillId="2" borderId="56" xfId="0" applyNumberFormat="1" applyFont="1" applyFill="1" applyBorder="1"/>
    <xf numFmtId="4" fontId="15" fillId="7" borderId="2" xfId="0" applyNumberFormat="1" applyFont="1" applyFill="1" applyBorder="1"/>
    <xf numFmtId="4" fontId="1" fillId="0" borderId="41" xfId="5" applyNumberFormat="1" applyFont="1" applyBorder="1" applyAlignment="1"/>
    <xf numFmtId="4" fontId="2" fillId="5" borderId="3" xfId="0" applyNumberFormat="1" applyFont="1" applyFill="1" applyBorder="1" applyAlignment="1">
      <alignment wrapText="1"/>
    </xf>
    <xf numFmtId="4" fontId="2" fillId="0" borderId="33" xfId="0" applyNumberFormat="1" applyFont="1" applyFill="1" applyBorder="1" applyAlignment="1">
      <alignment wrapText="1"/>
    </xf>
    <xf numFmtId="4" fontId="2" fillId="0" borderId="3" xfId="0" applyNumberFormat="1" applyFont="1" applyFill="1" applyBorder="1" applyAlignment="1">
      <alignment wrapText="1"/>
    </xf>
    <xf numFmtId="4" fontId="18" fillId="0" borderId="3" xfId="0" applyNumberFormat="1" applyFont="1" applyBorder="1"/>
    <xf numFmtId="0" fontId="18" fillId="0" borderId="16" xfId="0" applyFont="1" applyBorder="1"/>
    <xf numFmtId="49" fontId="18" fillId="0" borderId="16" xfId="0" applyNumberFormat="1" applyFont="1" applyBorder="1" applyAlignment="1">
      <alignment horizontal="center"/>
    </xf>
    <xf numFmtId="49" fontId="18" fillId="0" borderId="17" xfId="0" applyNumberFormat="1" applyFont="1" applyBorder="1" applyAlignment="1">
      <alignment horizontal="center"/>
    </xf>
    <xf numFmtId="4" fontId="21" fillId="4" borderId="17" xfId="0" applyNumberFormat="1" applyFont="1" applyFill="1" applyBorder="1" applyAlignment="1">
      <alignment horizontal="center"/>
    </xf>
    <xf numFmtId="4" fontId="21" fillId="4" borderId="16" xfId="0" applyNumberFormat="1" applyFont="1" applyFill="1" applyBorder="1" applyAlignment="1">
      <alignment horizontal="center"/>
    </xf>
    <xf numFmtId="4" fontId="20" fillId="0" borderId="3" xfId="0" applyNumberFormat="1" applyFont="1" applyFill="1" applyBorder="1"/>
    <xf numFmtId="4" fontId="20" fillId="0" borderId="16" xfId="0" applyNumberFormat="1" applyFont="1" applyFill="1" applyBorder="1"/>
    <xf numFmtId="4" fontId="18" fillId="0" borderId="17" xfId="0" applyNumberFormat="1" applyFont="1" applyBorder="1" applyAlignment="1">
      <alignment horizontal="center"/>
    </xf>
    <xf numFmtId="4" fontId="20" fillId="0" borderId="16" xfId="0" applyNumberFormat="1" applyFont="1" applyFill="1" applyBorder="1" applyAlignment="1">
      <alignment horizontal="center"/>
    </xf>
    <xf numFmtId="4" fontId="18" fillId="0" borderId="16" xfId="0" applyNumberFormat="1" applyFont="1" applyBorder="1"/>
    <xf numFmtId="4" fontId="18" fillId="0" borderId="5" xfId="0" applyNumberFormat="1" applyFont="1" applyFill="1" applyBorder="1"/>
    <xf numFmtId="4" fontId="18" fillId="0" borderId="16" xfId="0" applyNumberFormat="1" applyFont="1" applyBorder="1" applyAlignment="1">
      <alignment horizontal="center"/>
    </xf>
    <xf numFmtId="4" fontId="20" fillId="5" borderId="17" xfId="0" applyNumberFormat="1" applyFont="1" applyFill="1" applyBorder="1" applyAlignment="1">
      <alignment horizontal="center"/>
    </xf>
    <xf numFmtId="4" fontId="21" fillId="5" borderId="16" xfId="0" applyNumberFormat="1" applyFont="1" applyFill="1" applyBorder="1" applyAlignment="1">
      <alignment horizontal="center"/>
    </xf>
    <xf numFmtId="4" fontId="20" fillId="0" borderId="5" xfId="0" applyNumberFormat="1" applyFont="1" applyFill="1" applyBorder="1"/>
    <xf numFmtId="4" fontId="18" fillId="0" borderId="3" xfId="0" applyNumberFormat="1" applyFont="1" applyFill="1" applyBorder="1"/>
    <xf numFmtId="4" fontId="20" fillId="5" borderId="16" xfId="0" applyNumberFormat="1" applyFont="1" applyFill="1" applyBorder="1" applyAlignment="1">
      <alignment horizontal="center"/>
    </xf>
    <xf numFmtId="4" fontId="21" fillId="5" borderId="32" xfId="0" applyNumberFormat="1" applyFont="1" applyFill="1" applyBorder="1" applyAlignment="1">
      <alignment horizontal="center"/>
    </xf>
    <xf numFmtId="4" fontId="20" fillId="0" borderId="17" xfId="0" applyNumberFormat="1" applyFont="1" applyFill="1" applyBorder="1" applyAlignment="1">
      <alignment horizontal="center"/>
    </xf>
    <xf numFmtId="4" fontId="20" fillId="0" borderId="31" xfId="0" applyNumberFormat="1" applyFont="1" applyFill="1" applyBorder="1" applyAlignment="1">
      <alignment horizontal="center"/>
    </xf>
    <xf numFmtId="4" fontId="20" fillId="0" borderId="17" xfId="0" applyNumberFormat="1" applyFont="1" applyBorder="1" applyAlignment="1">
      <alignment horizontal="center"/>
    </xf>
    <xf numFmtId="4" fontId="19" fillId="2" borderId="31" xfId="0" applyNumberFormat="1" applyFont="1" applyFill="1" applyBorder="1"/>
    <xf numFmtId="4" fontId="18" fillId="0" borderId="17" xfId="0" applyNumberFormat="1" applyFont="1" applyBorder="1"/>
    <xf numFmtId="4" fontId="18" fillId="0" borderId="5" xfId="0" applyNumberFormat="1" applyFont="1" applyBorder="1"/>
    <xf numFmtId="4" fontId="23" fillId="2" borderId="16" xfId="0" applyNumberFormat="1" applyFont="1" applyFill="1" applyBorder="1"/>
    <xf numFmtId="4" fontId="18" fillId="2" borderId="17" xfId="0" applyNumberFormat="1" applyFont="1" applyFill="1" applyBorder="1"/>
    <xf numFmtId="4" fontId="18" fillId="2" borderId="16" xfId="0" applyNumberFormat="1" applyFont="1" applyFill="1" applyBorder="1"/>
    <xf numFmtId="4" fontId="19" fillId="2" borderId="16" xfId="0" applyNumberFormat="1" applyFont="1" applyFill="1" applyBorder="1"/>
    <xf numFmtId="4" fontId="19" fillId="2" borderId="3" xfId="0" applyNumberFormat="1" applyFont="1" applyFill="1" applyBorder="1"/>
    <xf numFmtId="4" fontId="18" fillId="0" borderId="16" xfId="0" applyNumberFormat="1" applyFont="1" applyFill="1" applyBorder="1"/>
    <xf numFmtId="4" fontId="20" fillId="0" borderId="17" xfId="0" applyNumberFormat="1" applyFont="1" applyFill="1" applyBorder="1"/>
    <xf numFmtId="4" fontId="18" fillId="2" borderId="5" xfId="0" applyNumberFormat="1" applyFont="1" applyFill="1" applyBorder="1"/>
    <xf numFmtId="4" fontId="18" fillId="2" borderId="38" xfId="0" applyNumberFormat="1" applyFont="1" applyFill="1" applyBorder="1"/>
    <xf numFmtId="4" fontId="18" fillId="7" borderId="31" xfId="0" applyNumberFormat="1" applyFont="1" applyFill="1" applyBorder="1"/>
    <xf numFmtId="4" fontId="35" fillId="7" borderId="16" xfId="0" applyNumberFormat="1" applyFont="1" applyFill="1" applyBorder="1"/>
    <xf numFmtId="4" fontId="35" fillId="7" borderId="3" xfId="0" applyNumberFormat="1" applyFont="1" applyFill="1" applyBorder="1"/>
    <xf numFmtId="4" fontId="35" fillId="7" borderId="17" xfId="0" applyNumberFormat="1" applyFont="1" applyFill="1" applyBorder="1"/>
    <xf numFmtId="0" fontId="18" fillId="0" borderId="5" xfId="0" applyFont="1" applyBorder="1"/>
    <xf numFmtId="0" fontId="18" fillId="0" borderId="3" xfId="0" applyFont="1" applyBorder="1"/>
    <xf numFmtId="0" fontId="2" fillId="0" borderId="3" xfId="0" applyFont="1" applyBorder="1" applyProtection="1">
      <protection locked="0"/>
    </xf>
    <xf numFmtId="4" fontId="11" fillId="4" borderId="3" xfId="0" applyNumberFormat="1" applyFont="1" applyFill="1" applyBorder="1"/>
    <xf numFmtId="4" fontId="32" fillId="2" borderId="2" xfId="0" applyNumberFormat="1" applyFont="1" applyFill="1" applyBorder="1"/>
    <xf numFmtId="4" fontId="2" fillId="7" borderId="41" xfId="0" applyNumberFormat="1" applyFont="1" applyFill="1" applyBorder="1"/>
    <xf numFmtId="49" fontId="24" fillId="2" borderId="41" xfId="0" applyNumberFormat="1" applyFont="1" applyFill="1" applyBorder="1" applyAlignment="1">
      <alignment horizontal="left"/>
    </xf>
    <xf numFmtId="49" fontId="24" fillId="0" borderId="41" xfId="0" applyNumberFormat="1" applyFont="1" applyFill="1" applyBorder="1" applyAlignment="1">
      <alignment horizontal="right"/>
    </xf>
    <xf numFmtId="49" fontId="16" fillId="2" borderId="2" xfId="0" applyNumberFormat="1" applyFont="1" applyFill="1" applyBorder="1" applyAlignment="1">
      <alignment horizontal="left"/>
    </xf>
    <xf numFmtId="49" fontId="16" fillId="2" borderId="41" xfId="0" applyNumberFormat="1" applyFont="1" applyFill="1" applyBorder="1" applyAlignment="1">
      <alignment horizontal="left"/>
    </xf>
    <xf numFmtId="49" fontId="2" fillId="2" borderId="41" xfId="0" applyNumberFormat="1" applyFont="1" applyFill="1" applyBorder="1" applyAlignment="1">
      <alignment horizontal="left"/>
    </xf>
    <xf numFmtId="49" fontId="2" fillId="0" borderId="41" xfId="0" applyNumberFormat="1" applyFont="1" applyFill="1" applyBorder="1" applyAlignment="1">
      <alignment horizontal="right"/>
    </xf>
    <xf numFmtId="4" fontId="18" fillId="0" borderId="17" xfId="0" applyNumberFormat="1" applyFont="1" applyFill="1" applyBorder="1" applyAlignment="1">
      <alignment horizontal="center"/>
    </xf>
    <xf numFmtId="4" fontId="32" fillId="14" borderId="25" xfId="0" applyNumberFormat="1" applyFont="1" applyFill="1" applyBorder="1" applyAlignment="1">
      <alignment wrapText="1"/>
    </xf>
    <xf numFmtId="4" fontId="19" fillId="14" borderId="38" xfId="0" applyNumberFormat="1" applyFont="1" applyFill="1" applyBorder="1" applyAlignment="1">
      <alignment horizontal="center"/>
    </xf>
    <xf numFmtId="49" fontId="18" fillId="0" borderId="5" xfId="0" applyNumberFormat="1" applyFont="1" applyBorder="1" applyAlignment="1">
      <alignment horizontal="center"/>
    </xf>
    <xf numFmtId="4" fontId="18" fillId="0" borderId="17" xfId="0" applyNumberFormat="1" applyFont="1" applyFill="1" applyBorder="1"/>
    <xf numFmtId="4" fontId="23" fillId="2" borderId="17" xfId="0" applyNumberFormat="1" applyFont="1" applyFill="1" applyBorder="1"/>
    <xf numFmtId="4" fontId="19" fillId="2" borderId="17" xfId="0" applyNumberFormat="1" applyFont="1" applyFill="1" applyBorder="1"/>
    <xf numFmtId="4" fontId="45" fillId="14" borderId="17" xfId="0" applyNumberFormat="1" applyFont="1" applyFill="1" applyBorder="1"/>
    <xf numFmtId="4" fontId="35" fillId="2" borderId="17" xfId="0" applyNumberFormat="1" applyFont="1" applyFill="1" applyBorder="1"/>
    <xf numFmtId="4" fontId="35" fillId="2" borderId="16" xfId="0" applyNumberFormat="1" applyFont="1" applyFill="1" applyBorder="1"/>
    <xf numFmtId="4" fontId="15" fillId="14" borderId="0" xfId="0" applyNumberFormat="1" applyFont="1" applyFill="1" applyBorder="1"/>
    <xf numFmtId="4" fontId="35" fillId="14" borderId="17" xfId="0" applyNumberFormat="1" applyFont="1" applyFill="1" applyBorder="1" applyAlignment="1">
      <alignment horizontal="center"/>
    </xf>
    <xf numFmtId="4" fontId="35" fillId="14" borderId="16" xfId="0" applyNumberFormat="1" applyFont="1" applyFill="1" applyBorder="1" applyAlignment="1">
      <alignment horizontal="center"/>
    </xf>
    <xf numFmtId="4" fontId="21" fillId="14" borderId="32" xfId="0" applyNumberFormat="1" applyFont="1" applyFill="1" applyBorder="1" applyAlignment="1">
      <alignment horizontal="center"/>
    </xf>
    <xf numFmtId="4" fontId="18" fillId="14" borderId="35" xfId="0" applyNumberFormat="1" applyFont="1" applyFill="1" applyBorder="1" applyAlignment="1">
      <alignment horizontal="center"/>
    </xf>
    <xf numFmtId="4" fontId="16" fillId="14" borderId="25" xfId="0" applyNumberFormat="1" applyFont="1" applyFill="1" applyBorder="1" applyAlignment="1">
      <alignment wrapText="1"/>
    </xf>
    <xf numFmtId="4" fontId="19" fillId="14" borderId="17" xfId="0" applyNumberFormat="1" applyFont="1" applyFill="1" applyBorder="1"/>
    <xf numFmtId="4" fontId="19" fillId="14" borderId="16" xfId="0" applyNumberFormat="1" applyFont="1" applyFill="1" applyBorder="1"/>
    <xf numFmtId="4" fontId="18" fillId="14" borderId="26" xfId="0" applyNumberFormat="1" applyFont="1" applyFill="1" applyBorder="1"/>
    <xf numFmtId="4" fontId="2" fillId="14" borderId="41" xfId="0" applyNumberFormat="1" applyFont="1" applyFill="1" applyBorder="1"/>
    <xf numFmtId="4" fontId="35" fillId="14" borderId="3" xfId="0" applyNumberFormat="1" applyFont="1" applyFill="1" applyBorder="1" applyAlignment="1">
      <alignment horizontal="center"/>
    </xf>
    <xf numFmtId="4" fontId="18" fillId="14" borderId="16" xfId="0" applyNumberFormat="1" applyFont="1" applyFill="1" applyBorder="1" applyAlignment="1">
      <alignment horizontal="center"/>
    </xf>
    <xf numFmtId="4" fontId="1" fillId="14" borderId="41" xfId="5" applyNumberFormat="1" applyFont="1" applyFill="1" applyBorder="1" applyAlignment="1"/>
    <xf numFmtId="4" fontId="18" fillId="14" borderId="17" xfId="0" applyNumberFormat="1" applyFont="1" applyFill="1" applyBorder="1"/>
    <xf numFmtId="4" fontId="18" fillId="14" borderId="16" xfId="0" applyNumberFormat="1" applyFont="1" applyFill="1" applyBorder="1"/>
    <xf numFmtId="4" fontId="18" fillId="14" borderId="5" xfId="0" applyNumberFormat="1" applyFont="1" applyFill="1" applyBorder="1"/>
    <xf numFmtId="4" fontId="18" fillId="15" borderId="17" xfId="0" applyNumberFormat="1" applyFont="1" applyFill="1" applyBorder="1"/>
    <xf numFmtId="4" fontId="18" fillId="15" borderId="16" xfId="0" applyNumberFormat="1" applyFont="1" applyFill="1" applyBorder="1"/>
    <xf numFmtId="4" fontId="18" fillId="15" borderId="5" xfId="0" applyNumberFormat="1" applyFont="1" applyFill="1" applyBorder="1"/>
    <xf numFmtId="4" fontId="2" fillId="15" borderId="13" xfId="0" applyNumberFormat="1" applyFont="1" applyFill="1" applyBorder="1" applyAlignment="1">
      <alignment wrapText="1"/>
    </xf>
    <xf numFmtId="4" fontId="18" fillId="15" borderId="3" xfId="0" applyNumberFormat="1" applyFont="1" applyFill="1" applyBorder="1"/>
    <xf numFmtId="4" fontId="2" fillId="15" borderId="13" xfId="0" applyNumberFormat="1" applyFont="1" applyFill="1" applyBorder="1"/>
    <xf numFmtId="0" fontId="18" fillId="15" borderId="17" xfId="0" applyFont="1" applyFill="1" applyBorder="1"/>
    <xf numFmtId="0" fontId="18" fillId="15" borderId="16" xfId="0" applyFont="1" applyFill="1" applyBorder="1"/>
    <xf numFmtId="0" fontId="18" fillId="15" borderId="5" xfId="0" applyFont="1" applyFill="1" applyBorder="1"/>
    <xf numFmtId="0" fontId="18" fillId="15" borderId="3" xfId="0" applyFont="1" applyFill="1" applyBorder="1"/>
    <xf numFmtId="4" fontId="2" fillId="15" borderId="0" xfId="0" applyNumberFormat="1" applyFont="1" applyFill="1" applyBorder="1"/>
    <xf numFmtId="0" fontId="18" fillId="15" borderId="47" xfId="0" applyFont="1" applyFill="1" applyBorder="1"/>
    <xf numFmtId="0" fontId="18" fillId="15" borderId="38" xfId="0" applyFont="1" applyFill="1" applyBorder="1"/>
    <xf numFmtId="0" fontId="18" fillId="15" borderId="55" xfId="0" applyFont="1" applyFill="1" applyBorder="1"/>
    <xf numFmtId="0" fontId="18" fillId="15" borderId="68" xfId="0" applyFont="1" applyFill="1" applyBorder="1"/>
    <xf numFmtId="4" fontId="18" fillId="15" borderId="38" xfId="0" applyNumberFormat="1" applyFont="1" applyFill="1" applyBorder="1"/>
    <xf numFmtId="4" fontId="35" fillId="7" borderId="17" xfId="0" applyNumberFormat="1" applyFont="1" applyFill="1" applyBorder="1" applyAlignment="1">
      <alignment horizontal="center"/>
    </xf>
    <xf numFmtId="49" fontId="18" fillId="0" borderId="3" xfId="0" applyNumberFormat="1" applyFont="1" applyBorder="1" applyAlignment="1">
      <alignment horizontal="center"/>
    </xf>
    <xf numFmtId="4" fontId="23" fillId="2" borderId="3" xfId="0" applyNumberFormat="1" applyFont="1" applyFill="1" applyBorder="1"/>
    <xf numFmtId="4" fontId="35" fillId="2" borderId="3" xfId="0" applyNumberFormat="1" applyFont="1" applyFill="1" applyBorder="1"/>
    <xf numFmtId="4" fontId="19" fillId="14" borderId="3" xfId="0" applyNumberFormat="1" applyFont="1" applyFill="1" applyBorder="1"/>
    <xf numFmtId="4" fontId="18" fillId="14" borderId="3" xfId="0" applyNumberFormat="1" applyFont="1" applyFill="1" applyBorder="1"/>
    <xf numFmtId="4" fontId="19" fillId="0" borderId="17" xfId="0" applyNumberFormat="1" applyFont="1" applyFill="1" applyBorder="1"/>
    <xf numFmtId="4" fontId="21" fillId="4" borderId="5" xfId="0" applyNumberFormat="1" applyFont="1" applyFill="1" applyBorder="1" applyAlignment="1">
      <alignment horizontal="center"/>
    </xf>
    <xf numFmtId="4" fontId="18" fillId="0" borderId="5" xfId="0" applyNumberFormat="1" applyFont="1" applyBorder="1" applyAlignment="1">
      <alignment horizontal="center"/>
    </xf>
    <xf numFmtId="4" fontId="20" fillId="5" borderId="5" xfId="0" applyNumberFormat="1" applyFont="1" applyFill="1" applyBorder="1" applyAlignment="1">
      <alignment horizontal="center"/>
    </xf>
    <xf numFmtId="4" fontId="18" fillId="5" borderId="5" xfId="0" applyNumberFormat="1" applyFont="1" applyFill="1" applyBorder="1" applyAlignment="1">
      <alignment horizontal="center"/>
    </xf>
    <xf numFmtId="4" fontId="21" fillId="5" borderId="6" xfId="0" applyNumberFormat="1" applyFont="1" applyFill="1" applyBorder="1" applyAlignment="1">
      <alignment horizontal="center"/>
    </xf>
    <xf numFmtId="4" fontId="20" fillId="0" borderId="5" xfId="0" applyNumberFormat="1" applyFont="1" applyFill="1" applyBorder="1" applyAlignment="1">
      <alignment horizontal="center"/>
    </xf>
    <xf numFmtId="4" fontId="20" fillId="0" borderId="4" xfId="0" applyNumberFormat="1" applyFont="1" applyBorder="1" applyAlignment="1">
      <alignment horizontal="center"/>
    </xf>
    <xf numFmtId="4" fontId="20" fillId="0" borderId="5" xfId="0" applyNumberFormat="1" applyFont="1" applyBorder="1" applyAlignment="1">
      <alignment horizontal="center"/>
    </xf>
    <xf numFmtId="4" fontId="21" fillId="5" borderId="5" xfId="0" applyNumberFormat="1" applyFont="1" applyFill="1" applyBorder="1" applyAlignment="1">
      <alignment horizontal="center"/>
    </xf>
    <xf numFmtId="4" fontId="21" fillId="14" borderId="6" xfId="0" applyNumberFormat="1" applyFont="1" applyFill="1" applyBorder="1" applyAlignment="1">
      <alignment horizontal="center"/>
    </xf>
    <xf numFmtId="4" fontId="19" fillId="14" borderId="55" xfId="0" applyNumberFormat="1" applyFont="1" applyFill="1" applyBorder="1" applyAlignment="1">
      <alignment horizontal="center"/>
    </xf>
    <xf numFmtId="4" fontId="18" fillId="2" borderId="4" xfId="0" applyNumberFormat="1" applyFont="1" applyFill="1" applyBorder="1"/>
    <xf numFmtId="4" fontId="18" fillId="2" borderId="55" xfId="0" applyNumberFormat="1" applyFont="1" applyFill="1" applyBorder="1"/>
    <xf numFmtId="4" fontId="18" fillId="14" borderId="53" xfId="0" applyNumberFormat="1" applyFont="1" applyFill="1" applyBorder="1" applyAlignment="1">
      <alignment horizontal="center"/>
    </xf>
    <xf numFmtId="4" fontId="18" fillId="14" borderId="18" xfId="0" applyNumberFormat="1" applyFont="1" applyFill="1" applyBorder="1"/>
    <xf numFmtId="4" fontId="18" fillId="7" borderId="4" xfId="0" applyNumberFormat="1" applyFont="1" applyFill="1" applyBorder="1"/>
    <xf numFmtId="4" fontId="18" fillId="7" borderId="5" xfId="0" applyNumberFormat="1" applyFont="1" applyFill="1" applyBorder="1"/>
    <xf numFmtId="4" fontId="18" fillId="14" borderId="5" xfId="0" applyNumberFormat="1" applyFont="1" applyFill="1" applyBorder="1" applyAlignment="1">
      <alignment horizontal="center"/>
    </xf>
    <xf numFmtId="49" fontId="2" fillId="2" borderId="41" xfId="0" applyNumberFormat="1" applyFont="1" applyFill="1" applyBorder="1" applyAlignment="1">
      <alignment horizontal="left" wrapText="1"/>
    </xf>
    <xf numFmtId="4" fontId="21" fillId="4" borderId="3" xfId="0" applyNumberFormat="1" applyFont="1" applyFill="1" applyBorder="1" applyAlignment="1">
      <alignment horizontal="center"/>
    </xf>
    <xf numFmtId="4" fontId="20" fillId="0" borderId="3" xfId="0" applyNumberFormat="1" applyFont="1" applyFill="1" applyBorder="1" applyAlignment="1">
      <alignment horizontal="center"/>
    </xf>
    <xf numFmtId="4" fontId="18" fillId="0" borderId="3" xfId="0" applyNumberFormat="1" applyFont="1" applyBorder="1" applyAlignment="1">
      <alignment horizontal="center"/>
    </xf>
    <xf numFmtId="4" fontId="20" fillId="5" borderId="3" xfId="0" applyNumberFormat="1" applyFont="1" applyFill="1" applyBorder="1" applyAlignment="1">
      <alignment horizontal="center"/>
    </xf>
    <xf numFmtId="4" fontId="20" fillId="0" borderId="3" xfId="0" applyNumberFormat="1" applyFont="1" applyBorder="1" applyAlignment="1">
      <alignment horizontal="center"/>
    </xf>
    <xf numFmtId="4" fontId="20" fillId="0" borderId="16" xfId="0" applyNumberFormat="1" applyFont="1" applyBorder="1" applyAlignment="1">
      <alignment horizontal="center"/>
    </xf>
    <xf numFmtId="4" fontId="35" fillId="4" borderId="17" xfId="0" applyNumberFormat="1" applyFont="1" applyFill="1" applyBorder="1" applyAlignment="1">
      <alignment horizontal="center"/>
    </xf>
    <xf numFmtId="4" fontId="35" fillId="4" borderId="3" xfId="0" applyNumberFormat="1" applyFont="1" applyFill="1" applyBorder="1" applyAlignment="1">
      <alignment horizontal="center"/>
    </xf>
    <xf numFmtId="4" fontId="35" fillId="4" borderId="16" xfId="0" applyNumberFormat="1" applyFont="1" applyFill="1" applyBorder="1" applyAlignment="1">
      <alignment horizontal="center"/>
    </xf>
    <xf numFmtId="49" fontId="2" fillId="0" borderId="0" xfId="0" applyNumberFormat="1" applyFont="1" applyBorder="1" applyAlignment="1">
      <alignment horizontal="right"/>
    </xf>
    <xf numFmtId="4" fontId="18" fillId="0" borderId="0" xfId="0" applyNumberFormat="1" applyFont="1" applyBorder="1"/>
    <xf numFmtId="0" fontId="18" fillId="0" borderId="0" xfId="0" applyFont="1" applyBorder="1"/>
    <xf numFmtId="4" fontId="1" fillId="13" borderId="41" xfId="5" applyNumberFormat="1" applyFont="1" applyFill="1" applyBorder="1" applyAlignment="1"/>
    <xf numFmtId="4" fontId="18" fillId="13" borderId="17" xfId="0" applyNumberFormat="1" applyFont="1" applyFill="1" applyBorder="1"/>
    <xf numFmtId="4" fontId="18" fillId="13" borderId="3" xfId="0" applyNumberFormat="1" applyFont="1" applyFill="1" applyBorder="1"/>
    <xf numFmtId="4" fontId="18" fillId="13" borderId="16" xfId="0" applyNumberFormat="1" applyFont="1" applyFill="1" applyBorder="1"/>
    <xf numFmtId="4" fontId="18" fillId="13" borderId="5" xfId="0" applyNumberFormat="1" applyFont="1" applyFill="1" applyBorder="1"/>
    <xf numFmtId="4" fontId="2" fillId="13" borderId="0" xfId="0" applyNumberFormat="1" applyFont="1" applyFill="1"/>
    <xf numFmtId="4" fontId="20" fillId="13" borderId="3" xfId="0" applyNumberFormat="1" applyFont="1" applyFill="1" applyBorder="1"/>
    <xf numFmtId="49" fontId="2" fillId="0" borderId="64" xfId="0" applyNumberFormat="1" applyFont="1" applyBorder="1" applyAlignment="1">
      <alignment horizontal="right"/>
    </xf>
    <xf numFmtId="4" fontId="6" fillId="0" borderId="0" xfId="0" applyNumberFormat="1" applyFont="1" applyFill="1" applyBorder="1"/>
    <xf numFmtId="0" fontId="0" fillId="5" borderId="3" xfId="0" applyFill="1" applyBorder="1"/>
    <xf numFmtId="0" fontId="0" fillId="5" borderId="1"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0" borderId="1" xfId="0" applyNumberFormat="1" applyBorder="1"/>
    <xf numFmtId="0" fontId="0" fillId="7" borderId="0" xfId="0" applyFill="1"/>
    <xf numFmtId="4" fontId="6" fillId="7" borderId="11" xfId="0" applyNumberFormat="1" applyFont="1" applyFill="1" applyBorder="1" applyAlignment="1">
      <alignment horizontal="center"/>
    </xf>
    <xf numFmtId="4" fontId="6" fillId="7" borderId="7" xfId="0" applyNumberFormat="1" applyFont="1" applyFill="1" applyBorder="1" applyAlignment="1">
      <alignment horizontal="center"/>
    </xf>
    <xf numFmtId="49" fontId="40" fillId="0" borderId="5" xfId="0" applyNumberFormat="1" applyFont="1" applyBorder="1" applyAlignment="1">
      <alignment vertical="center" wrapText="1"/>
    </xf>
    <xf numFmtId="0" fontId="5" fillId="0" borderId="4" xfId="0" applyFont="1" applyBorder="1" applyAlignment="1">
      <alignment wrapText="1"/>
    </xf>
    <xf numFmtId="49" fontId="5" fillId="0" borderId="33" xfId="0" applyNumberFormat="1" applyFont="1" applyBorder="1"/>
    <xf numFmtId="4" fontId="46" fillId="0" borderId="29" xfId="0" applyNumberFormat="1" applyFont="1" applyBorder="1"/>
    <xf numFmtId="4" fontId="46" fillId="9" borderId="29" xfId="0" applyNumberFormat="1" applyFont="1" applyFill="1" applyBorder="1"/>
    <xf numFmtId="4" fontId="46" fillId="0" borderId="26" xfId="0" applyNumberFormat="1" applyFont="1" applyBorder="1"/>
    <xf numFmtId="4" fontId="47" fillId="0" borderId="9" xfId="0" applyNumberFormat="1" applyFont="1" applyBorder="1"/>
    <xf numFmtId="4" fontId="48" fillId="9" borderId="9" xfId="0" applyNumberFormat="1" applyFont="1" applyFill="1" applyBorder="1"/>
    <xf numFmtId="4" fontId="49" fillId="0" borderId="9" xfId="0" applyNumberFormat="1" applyFont="1" applyBorder="1"/>
    <xf numFmtId="4" fontId="50" fillId="9" borderId="9" xfId="0" applyNumberFormat="1" applyFont="1" applyFill="1" applyBorder="1"/>
    <xf numFmtId="49" fontId="5" fillId="0" borderId="3" xfId="0" applyNumberFormat="1" applyFont="1" applyBorder="1"/>
    <xf numFmtId="4" fontId="49" fillId="0" borderId="1" xfId="0" applyNumberFormat="1" applyFont="1" applyBorder="1"/>
    <xf numFmtId="4" fontId="50" fillId="9" borderId="1" xfId="0" applyNumberFormat="1" applyFont="1" applyFill="1" applyBorder="1"/>
    <xf numFmtId="49" fontId="5" fillId="0" borderId="3" xfId="0" applyNumberFormat="1" applyFont="1" applyFill="1" applyBorder="1"/>
    <xf numFmtId="4" fontId="50" fillId="0" borderId="1" xfId="0" applyNumberFormat="1" applyFont="1" applyBorder="1"/>
    <xf numFmtId="49" fontId="5" fillId="0" borderId="13" xfId="0" applyNumberFormat="1" applyFont="1" applyBorder="1"/>
    <xf numFmtId="4" fontId="49" fillId="0" borderId="7" xfId="0" applyNumberFormat="1" applyFont="1" applyBorder="1"/>
    <xf numFmtId="4" fontId="50" fillId="9" borderId="7" xfId="0" applyNumberFormat="1" applyFont="1" applyFill="1" applyBorder="1"/>
    <xf numFmtId="4" fontId="50" fillId="0" borderId="7" xfId="0" applyNumberFormat="1" applyFont="1" applyBorder="1"/>
    <xf numFmtId="4" fontId="49" fillId="9" borderId="1" xfId="0" applyNumberFormat="1" applyFont="1" applyFill="1" applyBorder="1"/>
    <xf numFmtId="4" fontId="50" fillId="0" borderId="9" xfId="0" applyNumberFormat="1" applyFont="1" applyBorder="1"/>
    <xf numFmtId="49" fontId="44" fillId="0" borderId="3" xfId="0" applyNumberFormat="1" applyFont="1" applyBorder="1" applyAlignment="1"/>
    <xf numFmtId="4" fontId="49" fillId="9" borderId="1" xfId="0" applyNumberFormat="1" applyFont="1" applyFill="1" applyBorder="1" applyAlignment="1"/>
    <xf numFmtId="4" fontId="49" fillId="9" borderId="7" xfId="0" applyNumberFormat="1" applyFont="1" applyFill="1" applyBorder="1" applyAlignment="1"/>
    <xf numFmtId="4" fontId="50" fillId="9" borderId="7" xfId="0" applyNumberFormat="1" applyFont="1" applyFill="1" applyBorder="1" applyAlignment="1"/>
    <xf numFmtId="4" fontId="49" fillId="0" borderId="13" xfId="0" applyNumberFormat="1" applyFont="1" applyBorder="1"/>
    <xf numFmtId="4" fontId="50" fillId="9" borderId="1" xfId="0" applyNumberFormat="1" applyFont="1" applyFill="1" applyBorder="1" applyAlignment="1"/>
    <xf numFmtId="4" fontId="49" fillId="0" borderId="5" xfId="0" applyNumberFormat="1" applyFont="1" applyBorder="1"/>
    <xf numFmtId="49" fontId="5" fillId="0" borderId="13" xfId="0" applyNumberFormat="1" applyFont="1" applyFill="1" applyBorder="1"/>
    <xf numFmtId="4" fontId="50" fillId="9" borderId="11" xfId="0" applyNumberFormat="1" applyFont="1" applyFill="1" applyBorder="1"/>
    <xf numFmtId="4" fontId="46" fillId="0" borderId="29" xfId="0" applyNumberFormat="1" applyFont="1" applyFill="1" applyBorder="1"/>
    <xf numFmtId="4" fontId="50" fillId="0" borderId="9" xfId="0" applyNumberFormat="1" applyFont="1" applyFill="1" applyBorder="1"/>
    <xf numFmtId="4" fontId="50" fillId="0" borderId="1" xfId="0" applyNumberFormat="1" applyFont="1" applyFill="1" applyBorder="1"/>
    <xf numFmtId="4" fontId="50" fillId="0" borderId="0" xfId="0" applyNumberFormat="1" applyFont="1"/>
    <xf numFmtId="4" fontId="49" fillId="9" borderId="9" xfId="0" applyNumberFormat="1" applyFont="1" applyFill="1" applyBorder="1"/>
    <xf numFmtId="4" fontId="49" fillId="9" borderId="7" xfId="0" applyNumberFormat="1" applyFont="1" applyFill="1" applyBorder="1"/>
    <xf numFmtId="4" fontId="49" fillId="0" borderId="11" xfId="0" applyNumberFormat="1" applyFont="1" applyBorder="1"/>
    <xf numFmtId="4" fontId="49" fillId="9" borderId="11" xfId="0" applyNumberFormat="1" applyFont="1" applyFill="1" applyBorder="1"/>
    <xf numFmtId="4" fontId="51" fillId="0" borderId="9" xfId="0" applyNumberFormat="1" applyFont="1" applyBorder="1"/>
    <xf numFmtId="4" fontId="51" fillId="0" borderId="7" xfId="0" applyNumberFormat="1" applyFont="1" applyBorder="1"/>
    <xf numFmtId="4" fontId="52" fillId="0" borderId="29" xfId="0" applyNumberFormat="1" applyFont="1" applyBorder="1"/>
    <xf numFmtId="4" fontId="52" fillId="9" borderId="29" xfId="0" applyNumberFormat="1" applyFont="1" applyFill="1" applyBorder="1"/>
    <xf numFmtId="4" fontId="52" fillId="0" borderId="26" xfId="0" applyNumberFormat="1" applyFont="1" applyBorder="1"/>
    <xf numFmtId="4" fontId="51" fillId="9" borderId="9" xfId="0" applyNumberFormat="1" applyFont="1" applyFill="1" applyBorder="1"/>
    <xf numFmtId="4" fontId="51" fillId="0" borderId="1" xfId="0" applyNumberFormat="1" applyFont="1" applyBorder="1"/>
    <xf numFmtId="4" fontId="51" fillId="9" borderId="1" xfId="0" applyNumberFormat="1" applyFont="1" applyFill="1" applyBorder="1"/>
    <xf numFmtId="4" fontId="51" fillId="9" borderId="7" xfId="0" applyNumberFormat="1" applyFont="1" applyFill="1" applyBorder="1"/>
    <xf numFmtId="4" fontId="53" fillId="0" borderId="29" xfId="0" applyNumberFormat="1" applyFont="1" applyBorder="1"/>
    <xf numFmtId="4" fontId="53" fillId="9" borderId="29" xfId="0" applyNumberFormat="1" applyFont="1" applyFill="1" applyBorder="1"/>
    <xf numFmtId="4" fontId="53" fillId="0" borderId="26" xfId="0" applyNumberFormat="1" applyFont="1" applyBorder="1"/>
    <xf numFmtId="4" fontId="48" fillId="0" borderId="29" xfId="0" applyNumberFormat="1" applyFont="1" applyBorder="1"/>
    <xf numFmtId="4" fontId="48" fillId="9" borderId="29" xfId="0" applyNumberFormat="1" applyFont="1" applyFill="1" applyBorder="1"/>
    <xf numFmtId="4" fontId="48" fillId="0" borderId="26" xfId="0" applyNumberFormat="1" applyFont="1" applyBorder="1"/>
    <xf numFmtId="4" fontId="54" fillId="0" borderId="29" xfId="0" applyNumberFormat="1" applyFont="1" applyBorder="1"/>
    <xf numFmtId="4" fontId="54" fillId="9" borderId="29" xfId="0" applyNumberFormat="1" applyFont="1" applyFill="1" applyBorder="1"/>
    <xf numFmtId="4" fontId="54" fillId="0" borderId="26" xfId="0" applyNumberFormat="1" applyFont="1" applyBorder="1"/>
    <xf numFmtId="4" fontId="53" fillId="0" borderId="29" xfId="0" applyNumberFormat="1" applyFont="1" applyFill="1" applyBorder="1"/>
    <xf numFmtId="4" fontId="53" fillId="0" borderId="26" xfId="0" applyNumberFormat="1" applyFont="1" applyFill="1" applyBorder="1"/>
    <xf numFmtId="49" fontId="55" fillId="0" borderId="45" xfId="0" applyNumberFormat="1" applyFont="1" applyBorder="1"/>
    <xf numFmtId="49" fontId="56" fillId="0" borderId="45" xfId="0" applyNumberFormat="1" applyFont="1" applyBorder="1"/>
    <xf numFmtId="4" fontId="47" fillId="9" borderId="9" xfId="0" applyNumberFormat="1" applyFont="1" applyFill="1" applyBorder="1"/>
    <xf numFmtId="4" fontId="47" fillId="9" borderId="7" xfId="0" applyNumberFormat="1" applyFont="1" applyFill="1" applyBorder="1"/>
    <xf numFmtId="49" fontId="57" fillId="0" borderId="3" xfId="0" applyNumberFormat="1" applyFont="1" applyBorder="1"/>
    <xf numFmtId="49" fontId="57" fillId="0" borderId="13" xfId="0" applyNumberFormat="1" applyFont="1" applyBorder="1"/>
    <xf numFmtId="49" fontId="57" fillId="0" borderId="19" xfId="0" applyNumberFormat="1" applyFont="1" applyBorder="1"/>
    <xf numFmtId="4" fontId="50" fillId="0" borderId="11" xfId="0" applyNumberFormat="1" applyFont="1" applyBorder="1"/>
    <xf numFmtId="49" fontId="57" fillId="0" borderId="33" xfId="0" applyNumberFormat="1" applyFont="1" applyBorder="1"/>
    <xf numFmtId="0" fontId="57" fillId="0" borderId="0" xfId="0" applyFont="1"/>
    <xf numFmtId="0" fontId="56" fillId="0" borderId="0" xfId="0" applyFont="1" applyAlignment="1">
      <alignment horizontal="center"/>
    </xf>
    <xf numFmtId="0" fontId="50" fillId="0" borderId="0" xfId="0" applyFont="1"/>
    <xf numFmtId="0" fontId="50" fillId="0" borderId="7" xfId="0" applyFont="1" applyBorder="1" applyAlignment="1">
      <alignment vertical="top" wrapText="1"/>
    </xf>
    <xf numFmtId="0" fontId="50" fillId="9" borderId="7" xfId="0" applyFont="1" applyFill="1" applyBorder="1" applyAlignment="1">
      <alignment horizontal="center" wrapText="1"/>
    </xf>
    <xf numFmtId="0" fontId="48" fillId="0" borderId="10" xfId="0" applyFont="1" applyBorder="1"/>
    <xf numFmtId="49" fontId="58" fillId="0" borderId="45" xfId="0" applyNumberFormat="1" applyFont="1" applyBorder="1"/>
    <xf numFmtId="0" fontId="5" fillId="0" borderId="5" xfId="0" applyFont="1" applyBorder="1" applyAlignment="1">
      <alignment wrapText="1"/>
    </xf>
    <xf numFmtId="0" fontId="5" fillId="0" borderId="5" xfId="0" applyFont="1" applyBorder="1" applyAlignment="1">
      <alignment vertical="top" wrapText="1"/>
    </xf>
    <xf numFmtId="0" fontId="5" fillId="0" borderId="5" xfId="0" applyFont="1" applyFill="1" applyBorder="1" applyAlignment="1">
      <alignment wrapText="1"/>
    </xf>
    <xf numFmtId="0" fontId="5" fillId="0" borderId="6" xfId="0" applyFont="1" applyBorder="1" applyAlignment="1">
      <alignment wrapText="1"/>
    </xf>
    <xf numFmtId="0" fontId="43" fillId="0" borderId="8" xfId="0" applyFont="1" applyFill="1" applyBorder="1" applyAlignment="1">
      <alignment wrapText="1"/>
    </xf>
    <xf numFmtId="2" fontId="5" fillId="0" borderId="6" xfId="0" applyNumberFormat="1" applyFont="1" applyFill="1" applyBorder="1" applyAlignment="1">
      <alignment vertical="top" wrapText="1"/>
    </xf>
    <xf numFmtId="2" fontId="5" fillId="0" borderId="5" xfId="0" applyNumberFormat="1" applyFont="1" applyFill="1" applyBorder="1" applyAlignment="1">
      <alignment vertical="top" wrapText="1"/>
    </xf>
    <xf numFmtId="2" fontId="5" fillId="0" borderId="5" xfId="0" applyNumberFormat="1" applyFont="1" applyBorder="1" applyAlignment="1">
      <alignment vertical="top" wrapText="1"/>
    </xf>
    <xf numFmtId="49" fontId="5" fillId="0" borderId="1" xfId="0" applyNumberFormat="1" applyFont="1" applyFill="1" applyBorder="1"/>
    <xf numFmtId="0" fontId="47" fillId="0" borderId="1" xfId="0" applyFont="1" applyFill="1" applyBorder="1" applyAlignment="1">
      <alignment vertical="center" wrapText="1"/>
    </xf>
    <xf numFmtId="49" fontId="44" fillId="0" borderId="13" xfId="0" applyNumberFormat="1" applyFont="1" applyBorder="1" applyAlignment="1"/>
    <xf numFmtId="2" fontId="5" fillId="0" borderId="6" xfId="0" applyNumberFormat="1" applyFont="1" applyBorder="1" applyAlignment="1">
      <alignment vertical="top" wrapText="1"/>
    </xf>
    <xf numFmtId="2" fontId="43" fillId="0" borderId="8" xfId="0" applyNumberFormat="1" applyFont="1" applyFill="1" applyBorder="1" applyAlignment="1">
      <alignment vertical="top" wrapText="1"/>
    </xf>
    <xf numFmtId="49" fontId="58" fillId="0" borderId="45" xfId="0" applyNumberFormat="1" applyFont="1" applyFill="1" applyBorder="1"/>
    <xf numFmtId="4" fontId="50" fillId="9" borderId="0" xfId="0" applyNumberFormat="1" applyFont="1" applyFill="1"/>
    <xf numFmtId="0" fontId="57" fillId="0" borderId="7" xfId="0" applyFont="1" applyBorder="1" applyAlignment="1">
      <alignment wrapText="1"/>
    </xf>
    <xf numFmtId="4" fontId="50" fillId="0" borderId="7" xfId="0" applyNumberFormat="1" applyFont="1" applyBorder="1" applyAlignment="1">
      <alignment vertical="top" wrapText="1"/>
    </xf>
    <xf numFmtId="4" fontId="50" fillId="9" borderId="7" xfId="0" applyNumberFormat="1" applyFont="1" applyFill="1" applyBorder="1" applyAlignment="1">
      <alignment horizontal="center" wrapText="1"/>
    </xf>
    <xf numFmtId="0" fontId="56" fillId="0" borderId="8" xfId="0" applyFont="1" applyBorder="1" applyAlignment="1">
      <alignment wrapText="1"/>
    </xf>
    <xf numFmtId="4" fontId="46" fillId="0" borderId="26" xfId="0" applyNumberFormat="1" applyFont="1" applyFill="1" applyBorder="1"/>
    <xf numFmtId="0" fontId="57" fillId="0" borderId="9" xfId="0" applyFont="1" applyBorder="1" applyAlignment="1">
      <alignment wrapText="1"/>
    </xf>
    <xf numFmtId="0" fontId="57" fillId="0" borderId="1" xfId="0" applyFont="1" applyBorder="1" applyAlignment="1">
      <alignment wrapText="1"/>
    </xf>
    <xf numFmtId="0" fontId="55" fillId="0" borderId="8" xfId="0" applyFont="1" applyBorder="1" applyAlignment="1">
      <alignment wrapText="1"/>
    </xf>
    <xf numFmtId="0" fontId="57" fillId="0" borderId="11" xfId="0" applyFont="1" applyBorder="1" applyAlignment="1">
      <alignment wrapText="1"/>
    </xf>
    <xf numFmtId="4" fontId="47" fillId="0" borderId="11" xfId="0" applyNumberFormat="1" applyFont="1" applyBorder="1"/>
    <xf numFmtId="4" fontId="47" fillId="9" borderId="11" xfId="0" applyNumberFormat="1" applyFont="1" applyFill="1" applyBorder="1"/>
    <xf numFmtId="0" fontId="55" fillId="0" borderId="45" xfId="0" applyFont="1" applyBorder="1"/>
    <xf numFmtId="0" fontId="57" fillId="0" borderId="0" xfId="0" applyFont="1" applyAlignment="1">
      <alignment wrapText="1"/>
    </xf>
    <xf numFmtId="0" fontId="56" fillId="0" borderId="45" xfId="0" applyFont="1" applyBorder="1"/>
    <xf numFmtId="0" fontId="55" fillId="0" borderId="9" xfId="0" applyFont="1" applyFill="1" applyBorder="1" applyAlignment="1">
      <alignment wrapText="1"/>
    </xf>
    <xf numFmtId="0" fontId="50" fillId="0" borderId="9" xfId="0" applyFont="1" applyBorder="1"/>
    <xf numFmtId="0" fontId="50" fillId="0" borderId="1" xfId="0" applyFont="1" applyBorder="1"/>
    <xf numFmtId="0" fontId="56" fillId="0" borderId="1" xfId="0" applyFont="1" applyBorder="1" applyAlignment="1">
      <alignment wrapText="1"/>
    </xf>
    <xf numFmtId="0" fontId="46" fillId="0" borderId="1" xfId="0" applyFont="1" applyBorder="1"/>
    <xf numFmtId="4" fontId="46" fillId="0" borderId="1" xfId="0" applyNumberFormat="1" applyFont="1" applyBorder="1"/>
    <xf numFmtId="4" fontId="46" fillId="9" borderId="1" xfId="0" applyNumberFormat="1" applyFont="1" applyFill="1" applyBorder="1"/>
    <xf numFmtId="0" fontId="56" fillId="0" borderId="0" xfId="0" applyFont="1"/>
    <xf numFmtId="4" fontId="57" fillId="0" borderId="0" xfId="0" applyNumberFormat="1" applyFont="1"/>
    <xf numFmtId="0" fontId="57" fillId="0" borderId="2" xfId="0" applyFont="1" applyBorder="1" applyAlignment="1">
      <alignment wrapText="1"/>
    </xf>
    <xf numFmtId="0" fontId="57" fillId="0" borderId="0" xfId="0" applyFont="1" applyBorder="1" applyAlignment="1">
      <alignment wrapText="1"/>
    </xf>
    <xf numFmtId="0" fontId="50" fillId="0" borderId="0" xfId="0" applyFont="1" applyBorder="1"/>
    <xf numFmtId="0" fontId="57" fillId="0" borderId="2" xfId="0" applyFont="1" applyBorder="1"/>
    <xf numFmtId="0" fontId="57" fillId="0" borderId="0" xfId="0" applyFont="1" applyBorder="1"/>
    <xf numFmtId="4" fontId="50" fillId="9" borderId="9" xfId="0" applyNumberFormat="1" applyFont="1" applyFill="1" applyBorder="1" applyAlignment="1"/>
    <xf numFmtId="4" fontId="51" fillId="0" borderId="11" xfId="0" applyNumberFormat="1" applyFont="1" applyBorder="1"/>
    <xf numFmtId="4" fontId="51" fillId="9" borderId="11" xfId="0" applyNumberFormat="1" applyFont="1" applyFill="1" applyBorder="1"/>
    <xf numFmtId="0" fontId="55" fillId="0" borderId="1" xfId="0" applyFont="1" applyBorder="1" applyAlignment="1">
      <alignment wrapText="1"/>
    </xf>
    <xf numFmtId="0" fontId="56" fillId="0" borderId="3" xfId="0" applyFont="1" applyBorder="1"/>
    <xf numFmtId="4" fontId="48" fillId="0" borderId="1" xfId="0" applyNumberFormat="1" applyFont="1" applyBorder="1"/>
    <xf numFmtId="4" fontId="48" fillId="9" borderId="1" xfId="0" applyNumberFormat="1" applyFont="1" applyFill="1" applyBorder="1"/>
    <xf numFmtId="0" fontId="55" fillId="0" borderId="1" xfId="0" applyFont="1" applyFill="1" applyBorder="1" applyAlignment="1">
      <alignment wrapText="1"/>
    </xf>
    <xf numFmtId="0" fontId="5" fillId="0" borderId="0" xfId="0" applyFont="1"/>
    <xf numFmtId="0" fontId="50" fillId="0" borderId="7" xfId="0" applyFont="1" applyBorder="1" applyAlignment="1">
      <alignment horizontal="center" vertical="top" wrapText="1"/>
    </xf>
    <xf numFmtId="2" fontId="5" fillId="0" borderId="4" xfId="0" applyNumberFormat="1" applyFont="1" applyFill="1" applyBorder="1" applyAlignment="1">
      <alignment vertical="top" wrapText="1"/>
    </xf>
    <xf numFmtId="4" fontId="49" fillId="0" borderId="1" xfId="0" applyNumberFormat="1" applyFont="1" applyBorder="1" applyAlignment="1"/>
    <xf numFmtId="4" fontId="49" fillId="0" borderId="9" xfId="0" applyNumberFormat="1" applyFont="1" applyBorder="1" applyAlignment="1"/>
    <xf numFmtId="4" fontId="49" fillId="0" borderId="9" xfId="0" applyNumberFormat="1" applyFont="1" applyFill="1" applyBorder="1"/>
    <xf numFmtId="4" fontId="49" fillId="0" borderId="1" xfId="0" applyNumberFormat="1" applyFont="1" applyFill="1" applyBorder="1"/>
    <xf numFmtId="4" fontId="49" fillId="0" borderId="7" xfId="0" applyNumberFormat="1" applyFont="1" applyFill="1" applyBorder="1"/>
    <xf numFmtId="4" fontId="49" fillId="0" borderId="0" xfId="0" applyNumberFormat="1" applyFont="1"/>
    <xf numFmtId="4" fontId="47" fillId="0" borderId="1" xfId="0" applyNumberFormat="1" applyFont="1" applyBorder="1"/>
    <xf numFmtId="4" fontId="47" fillId="9" borderId="1" xfId="0" applyNumberFormat="1" applyFont="1" applyFill="1" applyBorder="1"/>
    <xf numFmtId="4" fontId="48" fillId="0" borderId="29" xfId="0" applyNumberFormat="1" applyFont="1" applyFill="1" applyBorder="1"/>
    <xf numFmtId="4" fontId="47" fillId="0" borderId="9" xfId="0" applyNumberFormat="1" applyFont="1" applyFill="1" applyBorder="1"/>
    <xf numFmtId="0" fontId="50" fillId="0" borderId="7" xfId="0" applyFont="1" applyBorder="1"/>
    <xf numFmtId="0" fontId="46" fillId="0" borderId="29" xfId="0" applyFont="1" applyBorder="1"/>
    <xf numFmtId="49" fontId="44" fillId="0" borderId="3" xfId="3" applyNumberFormat="1" applyFont="1" applyBorder="1" applyAlignment="1"/>
    <xf numFmtId="4" fontId="50" fillId="0" borderId="11" xfId="0" applyNumberFormat="1" applyFont="1" applyFill="1" applyBorder="1"/>
    <xf numFmtId="4" fontId="50" fillId="0" borderId="7" xfId="0" applyNumberFormat="1" applyFont="1" applyFill="1" applyBorder="1"/>
    <xf numFmtId="4" fontId="52" fillId="0" borderId="29" xfId="0" applyNumberFormat="1" applyFont="1" applyFill="1" applyBorder="1"/>
    <xf numFmtId="4" fontId="49" fillId="0" borderId="3" xfId="0" applyNumberFormat="1" applyFont="1" applyBorder="1"/>
    <xf numFmtId="4" fontId="59" fillId="9" borderId="9" xfId="0" applyNumberFormat="1" applyFont="1" applyFill="1" applyBorder="1"/>
    <xf numFmtId="4" fontId="59" fillId="0" borderId="9" xfId="0" applyNumberFormat="1" applyFont="1" applyBorder="1"/>
    <xf numFmtId="4" fontId="60" fillId="0" borderId="7" xfId="0" applyNumberFormat="1" applyFont="1" applyBorder="1"/>
    <xf numFmtId="4" fontId="60" fillId="9" borderId="7" xfId="0" applyNumberFormat="1" applyFont="1" applyFill="1" applyBorder="1"/>
    <xf numFmtId="0" fontId="55" fillId="0" borderId="3" xfId="0" applyFont="1" applyBorder="1"/>
    <xf numFmtId="0" fontId="57" fillId="0" borderId="11" xfId="0" applyFont="1" applyFill="1" applyBorder="1" applyAlignment="1">
      <alignment wrapText="1"/>
    </xf>
    <xf numFmtId="49" fontId="57" fillId="0" borderId="19" xfId="0" applyNumberFormat="1" applyFont="1" applyFill="1" applyBorder="1"/>
    <xf numFmtId="0" fontId="57" fillId="0" borderId="8" xfId="0" applyFont="1" applyBorder="1" applyAlignment="1">
      <alignment wrapText="1"/>
    </xf>
    <xf numFmtId="49" fontId="57" fillId="0" borderId="45" xfId="0" applyNumberFormat="1" applyFont="1" applyBorder="1"/>
    <xf numFmtId="49" fontId="57" fillId="0" borderId="9" xfId="0" applyNumberFormat="1" applyFont="1" applyBorder="1"/>
    <xf numFmtId="49" fontId="57" fillId="0" borderId="7" xfId="0" applyNumberFormat="1" applyFont="1" applyBorder="1"/>
    <xf numFmtId="0" fontId="55" fillId="9" borderId="1" xfId="0" applyFont="1" applyFill="1" applyBorder="1" applyAlignment="1">
      <alignment wrapText="1"/>
    </xf>
    <xf numFmtId="0" fontId="4" fillId="0" borderId="0" xfId="0" applyFont="1" applyFill="1" applyBorder="1" applyAlignment="1">
      <alignment horizontal="center"/>
    </xf>
    <xf numFmtId="39" fontId="0" fillId="0" borderId="0" xfId="0" applyNumberFormat="1"/>
    <xf numFmtId="4" fontId="60" fillId="9" borderId="11" xfId="0" applyNumberFormat="1" applyFont="1" applyFill="1" applyBorder="1"/>
    <xf numFmtId="4" fontId="62" fillId="0" borderId="11" xfId="0" applyNumberFormat="1" applyFont="1" applyBorder="1"/>
    <xf numFmtId="4" fontId="27" fillId="0" borderId="7" xfId="3" applyNumberFormat="1" applyFont="1" applyFill="1" applyBorder="1" applyAlignment="1"/>
    <xf numFmtId="49" fontId="0" fillId="0" borderId="9" xfId="0" applyNumberFormat="1" applyBorder="1" applyAlignment="1">
      <alignment horizontal="center" wrapText="1"/>
    </xf>
    <xf numFmtId="4" fontId="18" fillId="0" borderId="41" xfId="0" applyNumberFormat="1" applyFont="1" applyBorder="1"/>
    <xf numFmtId="49" fontId="8" fillId="2" borderId="20" xfId="0" applyNumberFormat="1" applyFont="1" applyFill="1" applyBorder="1" applyAlignment="1"/>
    <xf numFmtId="0" fontId="8" fillId="2" borderId="53" xfId="0" applyFont="1" applyFill="1" applyBorder="1" applyAlignment="1">
      <alignment wrapText="1"/>
    </xf>
    <xf numFmtId="4" fontId="19" fillId="0" borderId="3" xfId="0" applyNumberFormat="1" applyFont="1" applyFill="1" applyBorder="1"/>
    <xf numFmtId="4" fontId="19" fillId="0" borderId="16" xfId="0" applyNumberFormat="1" applyFont="1" applyFill="1" applyBorder="1"/>
    <xf numFmtId="49" fontId="16" fillId="0" borderId="41" xfId="0" applyNumberFormat="1" applyFont="1" applyFill="1" applyBorder="1" applyAlignment="1">
      <alignment horizontal="right"/>
    </xf>
    <xf numFmtId="4" fontId="25" fillId="0" borderId="1" xfId="0" applyNumberFormat="1" applyFont="1" applyFill="1" applyBorder="1" applyAlignment="1"/>
    <xf numFmtId="49" fontId="18" fillId="0" borderId="1" xfId="0" applyNumberFormat="1" applyFont="1" applyFill="1" applyBorder="1" applyAlignment="1"/>
    <xf numFmtId="0" fontId="2" fillId="0" borderId="54" xfId="0" applyFont="1" applyBorder="1" applyAlignment="1">
      <alignment wrapText="1"/>
    </xf>
    <xf numFmtId="49" fontId="18" fillId="0" borderId="50" xfId="0" applyNumberFormat="1" applyFont="1" applyBorder="1" applyAlignment="1"/>
    <xf numFmtId="49" fontId="56" fillId="0" borderId="19" xfId="0" applyNumberFormat="1" applyFont="1" applyBorder="1"/>
    <xf numFmtId="4" fontId="53" fillId="9" borderId="11" xfId="0" applyNumberFormat="1" applyFont="1" applyFill="1" applyBorder="1"/>
    <xf numFmtId="49" fontId="18" fillId="0" borderId="7" xfId="0" applyNumberFormat="1" applyFont="1" applyFill="1" applyBorder="1" applyAlignment="1"/>
    <xf numFmtId="49" fontId="18" fillId="0" borderId="9" xfId="0" applyNumberFormat="1" applyFont="1" applyFill="1" applyBorder="1" applyAlignment="1"/>
    <xf numFmtId="4" fontId="25" fillId="0" borderId="7" xfId="0" applyNumberFormat="1" applyFont="1" applyFill="1" applyBorder="1" applyAlignment="1"/>
    <xf numFmtId="0" fontId="2" fillId="0" borderId="4" xfId="0" applyFont="1" applyFill="1" applyBorder="1" applyAlignment="1">
      <alignment wrapText="1"/>
    </xf>
    <xf numFmtId="4" fontId="25" fillId="0" borderId="9" xfId="0" applyNumberFormat="1" applyFont="1" applyFill="1" applyBorder="1" applyAlignment="1"/>
    <xf numFmtId="0" fontId="2" fillId="0" borderId="7" xfId="0" applyFont="1" applyFill="1" applyBorder="1" applyAlignment="1">
      <alignment wrapText="1"/>
    </xf>
    <xf numFmtId="4" fontId="25" fillId="0" borderId="11" xfId="0" applyNumberFormat="1" applyFont="1" applyFill="1" applyBorder="1" applyAlignment="1"/>
    <xf numFmtId="0" fontId="11" fillId="8" borderId="29" xfId="0" applyFont="1" applyFill="1" applyBorder="1" applyAlignment="1">
      <alignment wrapText="1"/>
    </xf>
    <xf numFmtId="4" fontId="27" fillId="8" borderId="29" xfId="4" applyNumberFormat="1" applyFont="1" applyFill="1" applyBorder="1"/>
    <xf numFmtId="49" fontId="18" fillId="0" borderId="0" xfId="0" applyNumberFormat="1" applyFont="1" applyBorder="1" applyAlignment="1"/>
    <xf numFmtId="0" fontId="56" fillId="0" borderId="14" xfId="0" applyFont="1" applyBorder="1" applyAlignment="1">
      <alignment wrapText="1"/>
    </xf>
    <xf numFmtId="49" fontId="63" fillId="0" borderId="45" xfId="0" applyNumberFormat="1" applyFont="1" applyBorder="1"/>
    <xf numFmtId="4" fontId="62" fillId="9" borderId="11" xfId="0" applyNumberFormat="1" applyFont="1" applyFill="1" applyBorder="1"/>
    <xf numFmtId="4" fontId="51" fillId="0" borderId="19" xfId="0" applyNumberFormat="1" applyFont="1" applyBorder="1"/>
    <xf numFmtId="4" fontId="18" fillId="0" borderId="41" xfId="0" applyNumberFormat="1" applyFont="1" applyFill="1" applyBorder="1"/>
    <xf numFmtId="0" fontId="5" fillId="0" borderId="1" xfId="0" applyFont="1" applyBorder="1" applyAlignment="1">
      <alignment horizontal="left" wrapText="1"/>
    </xf>
    <xf numFmtId="49" fontId="21" fillId="0" borderId="1" xfId="0" applyNumberFormat="1" applyFont="1" applyFill="1" applyBorder="1" applyAlignment="1">
      <alignment horizontal="left" vertical="center" wrapText="1"/>
    </xf>
    <xf numFmtId="0" fontId="55" fillId="0" borderId="54" xfId="0" applyFont="1" applyBorder="1" applyAlignment="1">
      <alignment wrapText="1"/>
    </xf>
    <xf numFmtId="49" fontId="56" fillId="0" borderId="57" xfId="0" applyNumberFormat="1" applyFont="1" applyBorder="1"/>
    <xf numFmtId="4" fontId="53" fillId="0" borderId="50" xfId="0" applyNumberFormat="1" applyFont="1" applyBorder="1"/>
    <xf numFmtId="4" fontId="53" fillId="9" borderId="50" xfId="0" applyNumberFormat="1" applyFont="1" applyFill="1" applyBorder="1"/>
    <xf numFmtId="4" fontId="53" fillId="0" borderId="60" xfId="0" applyNumberFormat="1" applyFont="1" applyBorder="1"/>
    <xf numFmtId="49" fontId="57" fillId="0" borderId="1" xfId="0" applyNumberFormat="1" applyFont="1" applyBorder="1"/>
    <xf numFmtId="4" fontId="53" fillId="0" borderId="1" xfId="0" applyNumberFormat="1" applyFont="1" applyBorder="1"/>
    <xf numFmtId="4" fontId="53" fillId="9" borderId="1" xfId="0" applyNumberFormat="1" applyFont="1" applyFill="1" applyBorder="1"/>
    <xf numFmtId="0" fontId="57" fillId="0" borderId="0" xfId="0" applyFont="1" applyAlignment="1">
      <alignment horizontal="left"/>
    </xf>
    <xf numFmtId="0" fontId="40" fillId="0" borderId="0" xfId="0" applyFont="1" applyAlignment="1">
      <alignment horizontal="center" wrapText="1"/>
    </xf>
    <xf numFmtId="0" fontId="57" fillId="0" borderId="0" xfId="0" applyFont="1" applyBorder="1" applyAlignment="1">
      <alignment horizontal="center" wrapText="1"/>
    </xf>
    <xf numFmtId="49" fontId="55" fillId="0" borderId="57" xfId="0" applyNumberFormat="1" applyFont="1" applyBorder="1"/>
    <xf numFmtId="0" fontId="55" fillId="0" borderId="20" xfId="0" applyFont="1" applyBorder="1" applyAlignment="1">
      <alignment wrapText="1"/>
    </xf>
    <xf numFmtId="49" fontId="55" fillId="0" borderId="39" xfId="0" applyNumberFormat="1" applyFont="1" applyBorder="1"/>
    <xf numFmtId="4" fontId="48" fillId="0" borderId="34" xfId="0" applyNumberFormat="1" applyFont="1" applyBorder="1"/>
    <xf numFmtId="4" fontId="48" fillId="9" borderId="34" xfId="0" applyNumberFormat="1" applyFont="1" applyFill="1" applyBorder="1"/>
    <xf numFmtId="4" fontId="48" fillId="0" borderId="35" xfId="0" applyNumberFormat="1" applyFont="1" applyBorder="1"/>
    <xf numFmtId="0" fontId="55" fillId="0" borderId="69" xfId="0" applyFont="1" applyBorder="1" applyAlignment="1">
      <alignment wrapText="1"/>
    </xf>
    <xf numFmtId="49" fontId="56" fillId="0" borderId="39" xfId="0" applyNumberFormat="1" applyFont="1" applyBorder="1"/>
    <xf numFmtId="4" fontId="53" fillId="0" borderId="34" xfId="0" applyNumberFormat="1" applyFont="1" applyBorder="1"/>
    <xf numFmtId="4" fontId="53" fillId="9" borderId="34" xfId="0" applyNumberFormat="1" applyFont="1" applyFill="1" applyBorder="1"/>
    <xf numFmtId="4" fontId="53" fillId="0" borderId="35" xfId="0" applyNumberFormat="1" applyFont="1" applyBorder="1"/>
    <xf numFmtId="4" fontId="50" fillId="0" borderId="60" xfId="0" applyNumberFormat="1" applyFont="1" applyBorder="1"/>
    <xf numFmtId="4" fontId="50" fillId="9" borderId="50" xfId="0" applyNumberFormat="1" applyFont="1" applyFill="1" applyBorder="1"/>
    <xf numFmtId="4" fontId="59" fillId="0" borderId="50" xfId="0" applyNumberFormat="1" applyFont="1" applyBorder="1"/>
    <xf numFmtId="4" fontId="59" fillId="9" borderId="50" xfId="0" applyNumberFormat="1" applyFont="1" applyFill="1" applyBorder="1"/>
    <xf numFmtId="4" fontId="59" fillId="0" borderId="60" xfId="0" applyNumberFormat="1" applyFont="1" applyBorder="1"/>
    <xf numFmtId="0" fontId="56" fillId="0" borderId="69" xfId="0" applyFont="1" applyBorder="1" applyAlignment="1">
      <alignment wrapText="1"/>
    </xf>
    <xf numFmtId="4" fontId="48" fillId="0" borderId="50" xfId="0" applyNumberFormat="1" applyFont="1" applyBorder="1"/>
    <xf numFmtId="4" fontId="48" fillId="0" borderId="50" xfId="0" applyNumberFormat="1" applyFont="1" applyFill="1" applyBorder="1"/>
    <xf numFmtId="4" fontId="48" fillId="9" borderId="50" xfId="0" applyNumberFormat="1" applyFont="1" applyFill="1" applyBorder="1"/>
    <xf numFmtId="4" fontId="48" fillId="0" borderId="60" xfId="0" applyNumberFormat="1" applyFont="1" applyBorder="1"/>
    <xf numFmtId="4" fontId="48" fillId="0" borderId="1" xfId="0" applyNumberFormat="1" applyFont="1" applyFill="1" applyBorder="1"/>
    <xf numFmtId="4" fontId="47" fillId="0" borderId="50" xfId="0" applyNumberFormat="1" applyFont="1" applyBorder="1"/>
    <xf numFmtId="4" fontId="47" fillId="9" borderId="50" xfId="0" applyNumberFormat="1" applyFont="1" applyFill="1" applyBorder="1"/>
    <xf numFmtId="4" fontId="47" fillId="0" borderId="60" xfId="0" applyNumberFormat="1" applyFont="1" applyBorder="1"/>
    <xf numFmtId="49" fontId="57" fillId="0" borderId="0" xfId="0" applyNumberFormat="1" applyFont="1"/>
    <xf numFmtId="49" fontId="57" fillId="0" borderId="57" xfId="0" applyNumberFormat="1" applyFont="1" applyBorder="1"/>
    <xf numFmtId="4" fontId="60" fillId="0" borderId="1" xfId="0" applyNumberFormat="1" applyFont="1" applyBorder="1"/>
    <xf numFmtId="4" fontId="60" fillId="9" borderId="1" xfId="0" applyNumberFormat="1" applyFont="1" applyFill="1" applyBorder="1"/>
    <xf numFmtId="0" fontId="56" fillId="0" borderId="20" xfId="0" applyFont="1" applyBorder="1" applyAlignment="1">
      <alignment wrapText="1"/>
    </xf>
    <xf numFmtId="4" fontId="56" fillId="0" borderId="0" xfId="0" applyNumberFormat="1" applyFont="1"/>
    <xf numFmtId="4" fontId="64" fillId="0" borderId="17" xfId="0" applyNumberFormat="1" applyFont="1" applyFill="1" applyBorder="1" applyAlignment="1">
      <alignment horizontal="center"/>
    </xf>
    <xf numFmtId="4" fontId="64" fillId="0" borderId="3" xfId="0" applyNumberFormat="1" applyFont="1" applyFill="1" applyBorder="1" applyAlignment="1">
      <alignment horizontal="center"/>
    </xf>
    <xf numFmtId="4" fontId="64" fillId="0" borderId="16" xfId="0" applyNumberFormat="1" applyFont="1" applyFill="1" applyBorder="1" applyAlignment="1">
      <alignment horizontal="center"/>
    </xf>
    <xf numFmtId="4" fontId="25" fillId="2" borderId="0" xfId="0" applyNumberFormat="1" applyFont="1" applyFill="1" applyBorder="1"/>
    <xf numFmtId="4" fontId="25" fillId="2" borderId="11" xfId="0" applyNumberFormat="1" applyFont="1" applyFill="1" applyBorder="1" applyAlignment="1"/>
    <xf numFmtId="49" fontId="8" fillId="2" borderId="15" xfId="0" applyNumberFormat="1" applyFont="1" applyFill="1" applyBorder="1" applyAlignment="1"/>
    <xf numFmtId="4" fontId="25" fillId="2" borderId="11" xfId="0" applyNumberFormat="1" applyFont="1" applyFill="1" applyBorder="1"/>
    <xf numFmtId="49" fontId="8" fillId="0" borderId="1" xfId="0" applyNumberFormat="1" applyFont="1" applyFill="1" applyBorder="1" applyAlignment="1"/>
    <xf numFmtId="4" fontId="25" fillId="4" borderId="66" xfId="0" applyNumberFormat="1" applyFont="1" applyFill="1" applyBorder="1" applyAlignment="1"/>
    <xf numFmtId="4" fontId="25" fillId="2" borderId="9" xfId="0" applyNumberFormat="1" applyFont="1" applyFill="1" applyBorder="1" applyAlignment="1"/>
    <xf numFmtId="49" fontId="43" fillId="0" borderId="0" xfId="0" applyNumberFormat="1" applyFont="1" applyFill="1" applyBorder="1" applyAlignment="1">
      <alignment horizontal="left" vertical="center" wrapText="1"/>
    </xf>
    <xf numFmtId="0" fontId="57" fillId="0" borderId="14" xfId="0" applyFont="1" applyBorder="1" applyAlignment="1">
      <alignment wrapText="1"/>
    </xf>
    <xf numFmtId="4" fontId="49" fillId="0" borderId="19" xfId="0" applyNumberFormat="1" applyFont="1" applyBorder="1"/>
    <xf numFmtId="0" fontId="2" fillId="0" borderId="1" xfId="0" applyFont="1" applyFill="1" applyBorder="1" applyAlignment="1">
      <alignment wrapText="1"/>
    </xf>
    <xf numFmtId="49" fontId="21" fillId="0" borderId="1" xfId="0" applyNumberFormat="1" applyFont="1" applyFill="1" applyBorder="1" applyAlignment="1"/>
    <xf numFmtId="0" fontId="20" fillId="0" borderId="1" xfId="0" applyFont="1" applyFill="1" applyBorder="1" applyAlignment="1">
      <alignment wrapText="1"/>
    </xf>
    <xf numFmtId="4" fontId="64" fillId="0" borderId="5" xfId="0" applyNumberFormat="1" applyFont="1" applyBorder="1" applyAlignment="1">
      <alignment horizontal="center"/>
    </xf>
    <xf numFmtId="4" fontId="64" fillId="5" borderId="17" xfId="0" applyNumberFormat="1" applyFont="1" applyFill="1" applyBorder="1" applyAlignment="1">
      <alignment horizontal="center"/>
    </xf>
    <xf numFmtId="4" fontId="64" fillId="5" borderId="3" xfId="0" applyNumberFormat="1" applyFont="1" applyFill="1" applyBorder="1" applyAlignment="1">
      <alignment horizontal="center"/>
    </xf>
    <xf numFmtId="4" fontId="64" fillId="5" borderId="16" xfId="0" applyNumberFormat="1" applyFont="1" applyFill="1" applyBorder="1" applyAlignment="1">
      <alignment horizontal="center"/>
    </xf>
    <xf numFmtId="4" fontId="64" fillId="5" borderId="5" xfId="0" applyNumberFormat="1" applyFont="1" applyFill="1" applyBorder="1" applyAlignment="1">
      <alignment horizontal="center"/>
    </xf>
    <xf numFmtId="0" fontId="2" fillId="0" borderId="0" xfId="0" applyFont="1" applyAlignment="1">
      <alignment wrapText="1"/>
    </xf>
    <xf numFmtId="0" fontId="2" fillId="16" borderId="1" xfId="0" applyFont="1" applyFill="1" applyBorder="1" applyAlignment="1">
      <alignment wrapText="1"/>
    </xf>
    <xf numFmtId="0" fontId="2" fillId="5" borderId="1" xfId="0" applyFont="1" applyFill="1" applyBorder="1" applyAlignment="1">
      <alignment wrapText="1"/>
    </xf>
    <xf numFmtId="0" fontId="2" fillId="0" borderId="5" xfId="0" applyFont="1" applyFill="1" applyBorder="1" applyAlignment="1">
      <alignment wrapText="1"/>
    </xf>
    <xf numFmtId="0" fontId="1" fillId="0" borderId="5" xfId="5" applyFont="1" applyFill="1" applyBorder="1" applyAlignment="1">
      <alignment wrapText="1"/>
    </xf>
    <xf numFmtId="49" fontId="40" fillId="0" borderId="1" xfId="0" applyNumberFormat="1" applyFont="1" applyFill="1" applyBorder="1" applyAlignment="1">
      <alignment vertical="center" wrapText="1"/>
    </xf>
    <xf numFmtId="49" fontId="40" fillId="0" borderId="5" xfId="0" applyNumberFormat="1" applyFont="1" applyFill="1" applyBorder="1" applyAlignment="1">
      <alignment vertical="center" wrapText="1"/>
    </xf>
    <xf numFmtId="0" fontId="2" fillId="0" borderId="5" xfId="3" applyFont="1" applyFill="1" applyBorder="1" applyAlignment="1">
      <alignment wrapText="1"/>
    </xf>
    <xf numFmtId="49" fontId="18" fillId="0" borderId="37" xfId="0" applyNumberFormat="1" applyFont="1" applyBorder="1" applyAlignment="1"/>
    <xf numFmtId="4" fontId="28" fillId="0" borderId="9" xfId="0" applyNumberFormat="1" applyFont="1" applyFill="1" applyBorder="1" applyAlignment="1"/>
    <xf numFmtId="4" fontId="25" fillId="0" borderId="9" xfId="4" applyNumberFormat="1" applyFont="1" applyFill="1" applyBorder="1"/>
    <xf numFmtId="4" fontId="27" fillId="0" borderId="39" xfId="0" applyNumberFormat="1" applyFont="1" applyFill="1" applyBorder="1" applyAlignment="1"/>
    <xf numFmtId="0" fontId="2" fillId="0" borderId="41" xfId="0" applyFont="1" applyFill="1" applyBorder="1" applyAlignment="1">
      <alignment wrapText="1"/>
    </xf>
    <xf numFmtId="0" fontId="2" fillId="0" borderId="14" xfId="0" applyFont="1" applyFill="1" applyBorder="1" applyAlignment="1">
      <alignment wrapText="1"/>
    </xf>
    <xf numFmtId="49" fontId="18" fillId="0" borderId="0" xfId="0" applyNumberFormat="1" applyFont="1" applyFill="1" applyBorder="1" applyAlignment="1"/>
    <xf numFmtId="0" fontId="66" fillId="0" borderId="1" xfId="0" applyFont="1" applyFill="1" applyBorder="1" applyAlignment="1">
      <alignment wrapText="1"/>
    </xf>
    <xf numFmtId="4" fontId="25" fillId="5" borderId="9" xfId="0" applyNumberFormat="1" applyFont="1" applyFill="1" applyBorder="1"/>
    <xf numFmtId="4" fontId="27" fillId="5" borderId="9" xfId="0" applyNumberFormat="1" applyFont="1" applyFill="1" applyBorder="1" applyAlignment="1"/>
    <xf numFmtId="4" fontId="21" fillId="0" borderId="11" xfId="0" applyNumberFormat="1" applyFont="1" applyBorder="1" applyAlignment="1"/>
    <xf numFmtId="4" fontId="21" fillId="4" borderId="11" xfId="0" applyNumberFormat="1" applyFont="1" applyFill="1" applyBorder="1" applyAlignment="1"/>
    <xf numFmtId="0" fontId="2" fillId="5" borderId="14" xfId="0" applyFont="1" applyFill="1" applyBorder="1" applyAlignment="1">
      <alignment wrapText="1"/>
    </xf>
    <xf numFmtId="4" fontId="25" fillId="5" borderId="11" xfId="0" applyNumberFormat="1" applyFont="1" applyFill="1" applyBorder="1"/>
    <xf numFmtId="4" fontId="25" fillId="11" borderId="29" xfId="0" applyNumberFormat="1" applyFont="1" applyFill="1" applyBorder="1"/>
    <xf numFmtId="0" fontId="7" fillId="5" borderId="18" xfId="0" applyFont="1" applyFill="1" applyBorder="1" applyAlignment="1">
      <alignment wrapText="1"/>
    </xf>
    <xf numFmtId="49" fontId="8" fillId="5" borderId="8" xfId="0" applyNumberFormat="1" applyFont="1" applyFill="1" applyBorder="1" applyAlignment="1"/>
    <xf numFmtId="4" fontId="25" fillId="5" borderId="25" xfId="0" applyNumberFormat="1" applyFont="1" applyFill="1" applyBorder="1"/>
    <xf numFmtId="4" fontId="25" fillId="5" borderId="26" xfId="0" applyNumberFormat="1" applyFont="1" applyFill="1" applyBorder="1" applyAlignment="1"/>
    <xf numFmtId="4" fontId="25" fillId="5" borderId="0" xfId="0" applyNumberFormat="1" applyFont="1" applyFill="1" applyBorder="1"/>
    <xf numFmtId="4" fontId="27" fillId="5" borderId="1" xfId="0" applyNumberFormat="1" applyFont="1" applyFill="1" applyBorder="1" applyAlignment="1"/>
    <xf numFmtId="0" fontId="2" fillId="5" borderId="6" xfId="0" applyFont="1" applyFill="1" applyBorder="1" applyAlignment="1">
      <alignment wrapText="1"/>
    </xf>
    <xf numFmtId="49" fontId="18" fillId="5" borderId="7" xfId="0" applyNumberFormat="1" applyFont="1" applyFill="1" applyBorder="1" applyAlignment="1"/>
    <xf numFmtId="4" fontId="27" fillId="5" borderId="7" xfId="0" applyNumberFormat="1" applyFont="1" applyFill="1" applyBorder="1" applyAlignment="1"/>
    <xf numFmtId="0" fontId="21" fillId="5" borderId="18" xfId="0" applyFont="1" applyFill="1" applyBorder="1" applyAlignment="1">
      <alignment wrapText="1"/>
    </xf>
    <xf numFmtId="4" fontId="28" fillId="5" borderId="29" xfId="0" applyNumberFormat="1" applyFont="1" applyFill="1" applyBorder="1" applyAlignment="1"/>
    <xf numFmtId="4" fontId="28" fillId="5" borderId="29" xfId="4" applyNumberFormat="1" applyFont="1" applyFill="1" applyBorder="1"/>
    <xf numFmtId="4" fontId="28" fillId="5" borderId="30" xfId="0" applyNumberFormat="1" applyFont="1" applyFill="1" applyBorder="1" applyAlignment="1"/>
    <xf numFmtId="0" fontId="2" fillId="5" borderId="2" xfId="0" applyFont="1" applyFill="1" applyBorder="1" applyAlignment="1">
      <alignment wrapText="1"/>
    </xf>
    <xf numFmtId="49" fontId="20" fillId="5" borderId="9" xfId="0" applyNumberFormat="1" applyFont="1" applyFill="1" applyBorder="1" applyAlignment="1"/>
    <xf numFmtId="4" fontId="27" fillId="5" borderId="9" xfId="4" applyNumberFormat="1" applyFont="1" applyFill="1" applyBorder="1"/>
    <xf numFmtId="0" fontId="2" fillId="5" borderId="41" xfId="0" applyFont="1" applyFill="1" applyBorder="1" applyAlignment="1">
      <alignment wrapText="1"/>
    </xf>
    <xf numFmtId="49" fontId="20" fillId="5" borderId="1" xfId="0" applyNumberFormat="1" applyFont="1" applyFill="1" applyBorder="1" applyAlignment="1"/>
    <xf numFmtId="4" fontId="27" fillId="5" borderId="1" xfId="4" applyNumberFormat="1" applyFont="1" applyFill="1" applyBorder="1"/>
    <xf numFmtId="0" fontId="2" fillId="5" borderId="56" xfId="0" applyFont="1" applyFill="1" applyBorder="1" applyAlignment="1">
      <alignment wrapText="1"/>
    </xf>
    <xf numFmtId="49" fontId="20" fillId="5" borderId="7" xfId="0" applyNumberFormat="1" applyFont="1" applyFill="1" applyBorder="1" applyAlignment="1"/>
    <xf numFmtId="4" fontId="25" fillId="5" borderId="7" xfId="0" applyNumberFormat="1" applyFont="1" applyFill="1" applyBorder="1"/>
    <xf numFmtId="4" fontId="27" fillId="5" borderId="7" xfId="4" applyNumberFormat="1" applyFont="1" applyFill="1" applyBorder="1"/>
    <xf numFmtId="0" fontId="38" fillId="5" borderId="29" xfId="0" applyFont="1" applyFill="1" applyBorder="1" applyAlignment="1">
      <alignment wrapText="1"/>
    </xf>
    <xf numFmtId="49" fontId="8" fillId="5" borderId="29" xfId="0" applyNumberFormat="1" applyFont="1" applyFill="1" applyBorder="1" applyAlignment="1"/>
    <xf numFmtId="4" fontId="25" fillId="5" borderId="29" xfId="0" applyNumberFormat="1" applyFont="1" applyFill="1" applyBorder="1"/>
    <xf numFmtId="4" fontId="25" fillId="5" borderId="29" xfId="0" applyNumberFormat="1" applyFont="1" applyFill="1" applyBorder="1" applyAlignment="1"/>
    <xf numFmtId="4" fontId="25" fillId="5" borderId="35" xfId="0" applyNumberFormat="1" applyFont="1" applyFill="1" applyBorder="1" applyAlignment="1"/>
    <xf numFmtId="4" fontId="20" fillId="5" borderId="9" xfId="0" applyNumberFormat="1" applyFont="1" applyFill="1" applyBorder="1" applyAlignment="1"/>
    <xf numFmtId="49" fontId="18" fillId="5" borderId="3" xfId="0" applyNumberFormat="1" applyFont="1" applyFill="1" applyBorder="1" applyAlignment="1"/>
    <xf numFmtId="4" fontId="20" fillId="5" borderId="11" xfId="0" applyNumberFormat="1" applyFont="1" applyFill="1" applyBorder="1" applyAlignment="1"/>
    <xf numFmtId="0" fontId="2" fillId="5" borderId="11" xfId="0" applyFont="1" applyFill="1" applyBorder="1" applyAlignment="1">
      <alignment wrapText="1"/>
    </xf>
    <xf numFmtId="4" fontId="25" fillId="5" borderId="1" xfId="0" applyNumberFormat="1" applyFont="1" applyFill="1" applyBorder="1" applyAlignment="1"/>
    <xf numFmtId="0" fontId="2" fillId="5" borderId="7" xfId="0" applyFont="1" applyFill="1" applyBorder="1" applyAlignment="1">
      <alignment wrapText="1"/>
    </xf>
    <xf numFmtId="4" fontId="25" fillId="5" borderId="7" xfId="0" applyNumberFormat="1" applyFont="1" applyFill="1" applyBorder="1" applyAlignment="1"/>
    <xf numFmtId="0" fontId="8" fillId="5" borderId="8" xfId="0" applyFont="1" applyFill="1" applyBorder="1" applyAlignment="1">
      <alignment wrapText="1"/>
    </xf>
    <xf numFmtId="4" fontId="25" fillId="5" borderId="27" xfId="0" applyNumberFormat="1" applyFont="1" applyFill="1" applyBorder="1"/>
    <xf numFmtId="0" fontId="8" fillId="5" borderId="18" xfId="0" applyFont="1" applyFill="1" applyBorder="1" applyAlignment="1">
      <alignment wrapText="1"/>
    </xf>
    <xf numFmtId="0" fontId="2" fillId="5" borderId="9" xfId="0" applyFont="1" applyFill="1" applyBorder="1" applyAlignment="1">
      <alignment wrapText="1"/>
    </xf>
    <xf numFmtId="49" fontId="20" fillId="5" borderId="14" xfId="0" applyNumberFormat="1" applyFont="1" applyFill="1" applyBorder="1" applyAlignment="1"/>
    <xf numFmtId="4" fontId="27" fillId="5" borderId="11" xfId="4" applyNumberFormat="1" applyFont="1" applyFill="1" applyBorder="1"/>
    <xf numFmtId="49" fontId="20" fillId="5" borderId="5" xfId="0" applyNumberFormat="1" applyFont="1" applyFill="1" applyBorder="1" applyAlignment="1"/>
    <xf numFmtId="49" fontId="18" fillId="5" borderId="5" xfId="0" applyNumberFormat="1" applyFont="1" applyFill="1" applyBorder="1" applyAlignment="1"/>
    <xf numFmtId="49" fontId="18" fillId="5" borderId="4" xfId="0" applyNumberFormat="1" applyFont="1" applyFill="1" applyBorder="1" applyAlignment="1"/>
    <xf numFmtId="0" fontId="2" fillId="5" borderId="37" xfId="0" applyFont="1" applyFill="1" applyBorder="1" applyAlignment="1">
      <alignment wrapText="1"/>
    </xf>
    <xf numFmtId="49" fontId="18" fillId="5" borderId="6" xfId="0" applyNumberFormat="1" applyFont="1" applyFill="1" applyBorder="1" applyAlignment="1"/>
    <xf numFmtId="0" fontId="21" fillId="5" borderId="8" xfId="0" applyFont="1" applyFill="1" applyBorder="1" applyAlignment="1">
      <alignment wrapText="1"/>
    </xf>
    <xf numFmtId="49" fontId="21" fillId="5" borderId="29" xfId="0" applyNumberFormat="1" applyFont="1" applyFill="1" applyBorder="1" applyAlignment="1"/>
    <xf numFmtId="0" fontId="21" fillId="5" borderId="69" xfId="0" applyFont="1" applyFill="1" applyBorder="1" applyAlignment="1">
      <alignment wrapText="1"/>
    </xf>
    <xf numFmtId="49" fontId="21" fillId="5" borderId="54" xfId="0" applyNumberFormat="1" applyFont="1" applyFill="1" applyBorder="1" applyAlignment="1"/>
    <xf numFmtId="4" fontId="25" fillId="5" borderId="50" xfId="0" applyNumberFormat="1" applyFont="1" applyFill="1" applyBorder="1" applyAlignment="1"/>
    <xf numFmtId="4" fontId="25" fillId="5" borderId="1" xfId="4" applyNumberFormat="1" applyFont="1" applyFill="1" applyBorder="1"/>
    <xf numFmtId="4" fontId="25" fillId="5" borderId="19" xfId="0" applyNumberFormat="1" applyFont="1" applyFill="1" applyBorder="1"/>
    <xf numFmtId="4" fontId="27" fillId="5" borderId="19" xfId="0" applyNumberFormat="1" applyFont="1" applyFill="1" applyBorder="1" applyAlignment="1"/>
    <xf numFmtId="4" fontId="25" fillId="5" borderId="19" xfId="4" applyNumberFormat="1" applyFont="1" applyFill="1" applyBorder="1"/>
    <xf numFmtId="0" fontId="21" fillId="5" borderId="29" xfId="0" applyFont="1" applyFill="1" applyBorder="1" applyAlignment="1">
      <alignment wrapText="1"/>
    </xf>
    <xf numFmtId="4" fontId="27" fillId="2" borderId="50" xfId="0" applyNumberFormat="1" applyFont="1" applyFill="1" applyBorder="1" applyAlignment="1"/>
    <xf numFmtId="4" fontId="25" fillId="11" borderId="50" xfId="0" applyNumberFormat="1" applyFont="1" applyFill="1" applyBorder="1"/>
    <xf numFmtId="4" fontId="27" fillId="11" borderId="50" xfId="0" applyNumberFormat="1" applyFont="1" applyFill="1" applyBorder="1" applyAlignment="1"/>
    <xf numFmtId="0" fontId="21" fillId="11" borderId="8" xfId="0" applyFont="1" applyFill="1" applyBorder="1" applyAlignment="1">
      <alignment wrapText="1"/>
    </xf>
    <xf numFmtId="49" fontId="18" fillId="11" borderId="29" xfId="0" applyNumberFormat="1" applyFont="1" applyFill="1" applyBorder="1" applyAlignment="1"/>
    <xf numFmtId="4" fontId="27" fillId="11" borderId="29" xfId="0" applyNumberFormat="1" applyFont="1" applyFill="1" applyBorder="1" applyAlignment="1"/>
    <xf numFmtId="4" fontId="27" fillId="11" borderId="26" xfId="4" applyNumberFormat="1" applyFont="1" applyFill="1" applyBorder="1"/>
    <xf numFmtId="0" fontId="34" fillId="11" borderId="8" xfId="0" applyFont="1" applyFill="1" applyBorder="1" applyAlignment="1">
      <alignment wrapText="1"/>
    </xf>
    <xf numFmtId="49" fontId="21" fillId="11" borderId="18" xfId="0" applyNumberFormat="1" applyFont="1" applyFill="1" applyBorder="1" applyAlignment="1"/>
    <xf numFmtId="4" fontId="25" fillId="11" borderId="29" xfId="0" applyNumberFormat="1" applyFont="1" applyFill="1" applyBorder="1" applyAlignment="1"/>
    <xf numFmtId="4" fontId="27" fillId="11" borderId="26" xfId="0" applyNumberFormat="1" applyFont="1" applyFill="1" applyBorder="1" applyAlignment="1"/>
    <xf numFmtId="49" fontId="21" fillId="11" borderId="14" xfId="0" applyNumberFormat="1" applyFont="1" applyFill="1" applyBorder="1" applyAlignment="1"/>
    <xf numFmtId="0" fontId="2" fillId="11" borderId="8" xfId="0" applyFont="1" applyFill="1" applyBorder="1" applyAlignment="1">
      <alignment wrapText="1"/>
    </xf>
    <xf numFmtId="4" fontId="20" fillId="11" borderId="29" xfId="0" applyNumberFormat="1" applyFont="1" applyFill="1" applyBorder="1" applyAlignment="1"/>
    <xf numFmtId="4" fontId="20" fillId="11" borderId="26" xfId="0" applyNumberFormat="1" applyFont="1" applyFill="1" applyBorder="1" applyAlignment="1"/>
    <xf numFmtId="4" fontId="25" fillId="11" borderId="25" xfId="0" applyNumberFormat="1" applyFont="1" applyFill="1" applyBorder="1"/>
    <xf numFmtId="4" fontId="25" fillId="11" borderId="26" xfId="0" applyNumberFormat="1" applyFont="1" applyFill="1" applyBorder="1" applyAlignment="1"/>
    <xf numFmtId="0" fontId="42" fillId="11" borderId="8" xfId="0" applyFont="1" applyFill="1" applyBorder="1" applyAlignment="1">
      <alignment wrapText="1"/>
    </xf>
    <xf numFmtId="49" fontId="42" fillId="11" borderId="18" xfId="0" applyNumberFormat="1" applyFont="1" applyFill="1" applyBorder="1" applyAlignment="1"/>
    <xf numFmtId="0" fontId="21" fillId="11" borderId="29" xfId="0" applyFont="1" applyFill="1" applyBorder="1" applyAlignment="1">
      <alignment wrapText="1"/>
    </xf>
    <xf numFmtId="49" fontId="8" fillId="11" borderId="18" xfId="0" applyNumberFormat="1" applyFont="1" applyFill="1" applyBorder="1" applyAlignment="1"/>
    <xf numFmtId="4" fontId="27" fillId="11" borderId="45" xfId="0" applyNumberFormat="1" applyFont="1" applyFill="1" applyBorder="1" applyAlignment="1"/>
    <xf numFmtId="4" fontId="27" fillId="11" borderId="29" xfId="4" applyNumberFormat="1" applyFont="1" applyFill="1" applyBorder="1"/>
    <xf numFmtId="49" fontId="21" fillId="11" borderId="29" xfId="0" applyNumberFormat="1" applyFont="1" applyFill="1" applyBorder="1" applyAlignment="1"/>
    <xf numFmtId="0" fontId="8" fillId="11" borderId="8" xfId="0" applyFont="1" applyFill="1" applyBorder="1" applyAlignment="1">
      <alignment wrapText="1"/>
    </xf>
    <xf numFmtId="49" fontId="18" fillId="11" borderId="18" xfId="0" applyNumberFormat="1" applyFont="1" applyFill="1" applyBorder="1" applyAlignment="1"/>
    <xf numFmtId="49" fontId="8" fillId="11" borderId="29" xfId="0" applyNumberFormat="1" applyFont="1" applyFill="1" applyBorder="1" applyAlignment="1"/>
    <xf numFmtId="4" fontId="25" fillId="11" borderId="29" xfId="4" applyNumberFormat="1" applyFont="1" applyFill="1" applyBorder="1"/>
    <xf numFmtId="0" fontId="21" fillId="11" borderId="29" xfId="0" applyFont="1" applyFill="1" applyBorder="1" applyAlignment="1">
      <alignment vertical="top" wrapText="1"/>
    </xf>
    <xf numFmtId="0" fontId="8" fillId="0" borderId="29" xfId="0" applyFont="1" applyFill="1" applyBorder="1" applyAlignment="1">
      <alignment wrapText="1"/>
    </xf>
    <xf numFmtId="49" fontId="8" fillId="0" borderId="18" xfId="0" applyNumberFormat="1" applyFont="1" applyFill="1" applyBorder="1" applyAlignment="1"/>
    <xf numFmtId="49" fontId="18" fillId="0" borderId="11" xfId="0" applyNumberFormat="1" applyFont="1" applyFill="1" applyBorder="1" applyAlignment="1"/>
    <xf numFmtId="0" fontId="35" fillId="17" borderId="59" xfId="0" applyFont="1" applyFill="1" applyBorder="1" applyAlignment="1">
      <alignment vertical="top" wrapText="1"/>
    </xf>
    <xf numFmtId="0" fontId="34" fillId="17" borderId="10" xfId="0" applyFont="1" applyFill="1" applyBorder="1" applyAlignment="1">
      <alignment vertical="top" wrapText="1"/>
    </xf>
    <xf numFmtId="49" fontId="8" fillId="17" borderId="29" xfId="0" applyNumberFormat="1" applyFont="1" applyFill="1" applyBorder="1" applyAlignment="1"/>
    <xf numFmtId="4" fontId="25" fillId="17" borderId="18" xfId="0" applyNumberFormat="1" applyFont="1" applyFill="1" applyBorder="1"/>
    <xf numFmtId="4" fontId="25" fillId="17" borderId="29" xfId="0" applyNumberFormat="1" applyFont="1" applyFill="1" applyBorder="1" applyAlignment="1"/>
    <xf numFmtId="4" fontId="25" fillId="17" borderId="29" xfId="0" applyNumberFormat="1" applyFont="1" applyFill="1" applyBorder="1"/>
    <xf numFmtId="4" fontId="25" fillId="17" borderId="26" xfId="0" applyNumberFormat="1" applyFont="1" applyFill="1" applyBorder="1" applyAlignment="1"/>
    <xf numFmtId="0" fontId="34" fillId="17" borderId="25" xfId="0" applyFont="1" applyFill="1" applyBorder="1" applyAlignment="1">
      <alignment wrapText="1"/>
    </xf>
    <xf numFmtId="49" fontId="8" fillId="17" borderId="59" xfId="0" applyNumberFormat="1" applyFont="1" applyFill="1" applyBorder="1" applyAlignment="1"/>
    <xf numFmtId="49" fontId="8" fillId="17" borderId="54" xfId="0" applyNumberFormat="1" applyFont="1" applyFill="1" applyBorder="1" applyAlignment="1"/>
    <xf numFmtId="4" fontId="25" fillId="17" borderId="25" xfId="0" applyNumberFormat="1" applyFont="1" applyFill="1" applyBorder="1"/>
    <xf numFmtId="4" fontId="21" fillId="17" borderId="29" xfId="0" applyNumberFormat="1" applyFont="1" applyFill="1" applyBorder="1" applyAlignment="1"/>
    <xf numFmtId="49" fontId="21" fillId="17" borderId="9" xfId="0" applyNumberFormat="1" applyFont="1" applyFill="1" applyBorder="1" applyAlignment="1">
      <alignment horizontal="left" vertical="center" wrapText="1"/>
    </xf>
    <xf numFmtId="49" fontId="21" fillId="17" borderId="9" xfId="0" applyNumberFormat="1" applyFont="1" applyFill="1" applyBorder="1" applyAlignment="1"/>
    <xf numFmtId="4" fontId="25" fillId="17" borderId="9" xfId="0" applyNumberFormat="1" applyFont="1" applyFill="1" applyBorder="1"/>
    <xf numFmtId="4" fontId="27" fillId="17" borderId="9" xfId="0" applyNumberFormat="1" applyFont="1" applyFill="1" applyBorder="1" applyAlignment="1"/>
    <xf numFmtId="49" fontId="21" fillId="17" borderId="29" xfId="0" applyNumberFormat="1" applyFont="1" applyFill="1" applyBorder="1" applyAlignment="1"/>
    <xf numFmtId="4" fontId="21" fillId="17" borderId="26" xfId="0" applyNumberFormat="1" applyFont="1" applyFill="1" applyBorder="1" applyAlignment="1"/>
    <xf numFmtId="0" fontId="21" fillId="17" borderId="8" xfId="0" applyFont="1" applyFill="1" applyBorder="1" applyAlignment="1">
      <alignment wrapText="1"/>
    </xf>
    <xf numFmtId="0" fontId="11" fillId="17" borderId="29" xfId="0" applyFont="1" applyFill="1" applyBorder="1" applyAlignment="1">
      <alignment wrapText="1"/>
    </xf>
    <xf numFmtId="4" fontId="27" fillId="17" borderId="29" xfId="0" applyNumberFormat="1" applyFont="1" applyFill="1" applyBorder="1" applyAlignment="1"/>
    <xf numFmtId="4" fontId="27" fillId="17" borderId="26" xfId="0" applyNumberFormat="1" applyFont="1" applyFill="1" applyBorder="1" applyAlignment="1"/>
    <xf numFmtId="0" fontId="21" fillId="17" borderId="34" xfId="0" applyFont="1" applyFill="1" applyBorder="1" applyAlignment="1">
      <alignment wrapText="1"/>
    </xf>
    <xf numFmtId="49" fontId="8" fillId="17" borderId="53" xfId="0" applyNumberFormat="1" applyFont="1" applyFill="1" applyBorder="1" applyAlignment="1"/>
    <xf numFmtId="4" fontId="25" fillId="17" borderId="28" xfId="0" applyNumberFormat="1" applyFont="1" applyFill="1" applyBorder="1"/>
    <xf numFmtId="4" fontId="25" fillId="17" borderId="34" xfId="0" applyNumberFormat="1" applyFont="1" applyFill="1" applyBorder="1" applyAlignment="1"/>
    <xf numFmtId="4" fontId="25" fillId="17" borderId="35" xfId="4" applyNumberFormat="1" applyFont="1" applyFill="1" applyBorder="1"/>
    <xf numFmtId="4" fontId="25" fillId="17" borderId="35" xfId="0" applyNumberFormat="1" applyFont="1" applyFill="1" applyBorder="1" applyAlignment="1"/>
    <xf numFmtId="0" fontId="8" fillId="17" borderId="1" xfId="0" applyFont="1" applyFill="1" applyBorder="1" applyAlignment="1">
      <alignment wrapText="1"/>
    </xf>
    <xf numFmtId="49" fontId="8" fillId="17" borderId="1" xfId="0" applyNumberFormat="1" applyFont="1" applyFill="1" applyBorder="1" applyAlignment="1"/>
    <xf numFmtId="4" fontId="25" fillId="17" borderId="1" xfId="0" applyNumberFormat="1" applyFont="1" applyFill="1" applyBorder="1"/>
    <xf numFmtId="4" fontId="25" fillId="17" borderId="1" xfId="0" applyNumberFormat="1" applyFont="1" applyFill="1" applyBorder="1" applyAlignment="1"/>
    <xf numFmtId="4" fontId="25" fillId="17" borderId="1" xfId="4" applyNumberFormat="1" applyFont="1" applyFill="1" applyBorder="1"/>
    <xf numFmtId="0" fontId="8" fillId="17" borderId="45" xfId="0" applyFont="1" applyFill="1" applyBorder="1" applyAlignment="1">
      <alignment wrapText="1"/>
    </xf>
    <xf numFmtId="4" fontId="25" fillId="17" borderId="29" xfId="4" applyNumberFormat="1" applyFont="1" applyFill="1" applyBorder="1"/>
    <xf numFmtId="0" fontId="8" fillId="17" borderId="8" xfId="0" applyFont="1" applyFill="1" applyBorder="1" applyAlignment="1">
      <alignment wrapText="1"/>
    </xf>
    <xf numFmtId="49" fontId="8" fillId="17" borderId="18" xfId="0" applyNumberFormat="1" applyFont="1" applyFill="1" applyBorder="1" applyAlignment="1"/>
    <xf numFmtId="4" fontId="25" fillId="17" borderId="30" xfId="0" applyNumberFormat="1" applyFont="1" applyFill="1" applyBorder="1" applyAlignment="1"/>
    <xf numFmtId="0" fontId="8" fillId="17" borderId="54" xfId="0" applyFont="1" applyFill="1" applyBorder="1" applyAlignment="1">
      <alignment wrapText="1"/>
    </xf>
    <xf numFmtId="49" fontId="8" fillId="17" borderId="58" xfId="0" applyNumberFormat="1" applyFont="1" applyFill="1" applyBorder="1" applyAlignment="1"/>
    <xf numFmtId="4" fontId="25" fillId="17" borderId="27" xfId="0" applyNumberFormat="1" applyFont="1" applyFill="1" applyBorder="1"/>
    <xf numFmtId="4" fontId="25" fillId="17" borderId="50" xfId="0" applyNumberFormat="1" applyFont="1" applyFill="1" applyBorder="1" applyAlignment="1"/>
    <xf numFmtId="4" fontId="27" fillId="17" borderId="29" xfId="4" applyNumberFormat="1" applyFont="1" applyFill="1" applyBorder="1"/>
    <xf numFmtId="0" fontId="21" fillId="17" borderId="20" xfId="0" applyFont="1" applyFill="1" applyBorder="1" applyAlignment="1">
      <alignment wrapText="1"/>
    </xf>
    <xf numFmtId="49" fontId="21" fillId="17" borderId="53" xfId="0" applyNumberFormat="1" applyFont="1" applyFill="1" applyBorder="1" applyAlignment="1"/>
    <xf numFmtId="4" fontId="25" fillId="17" borderId="34" xfId="0" applyNumberFormat="1" applyFont="1" applyFill="1" applyBorder="1"/>
    <xf numFmtId="4" fontId="25" fillId="17" borderId="34" xfId="4" applyNumberFormat="1" applyFont="1" applyFill="1" applyBorder="1"/>
    <xf numFmtId="0" fontId="8" fillId="17" borderId="29" xfId="0" applyFont="1" applyFill="1" applyBorder="1" applyAlignment="1">
      <alignment wrapText="1"/>
    </xf>
    <xf numFmtId="49" fontId="21" fillId="17" borderId="50" xfId="0" applyNumberFormat="1" applyFont="1" applyFill="1" applyBorder="1" applyAlignment="1"/>
    <xf numFmtId="4" fontId="27" fillId="17" borderId="34" xfId="0" applyNumberFormat="1" applyFont="1" applyFill="1" applyBorder="1" applyAlignment="1"/>
    <xf numFmtId="0" fontId="21" fillId="17" borderId="18" xfId="0" applyFont="1" applyFill="1" applyBorder="1" applyAlignment="1">
      <alignment wrapText="1"/>
    </xf>
    <xf numFmtId="49" fontId="21" fillId="17" borderId="8" xfId="0" applyNumberFormat="1" applyFont="1" applyFill="1" applyBorder="1" applyAlignment="1"/>
    <xf numFmtId="0" fontId="21" fillId="17" borderId="29" xfId="0" applyFont="1" applyFill="1" applyBorder="1" applyAlignment="1">
      <alignment wrapText="1"/>
    </xf>
    <xf numFmtId="49" fontId="21" fillId="17" borderId="18" xfId="0" applyNumberFormat="1" applyFont="1" applyFill="1" applyBorder="1" applyAlignment="1"/>
    <xf numFmtId="4" fontId="25" fillId="17" borderId="50" xfId="0" applyNumberFormat="1" applyFont="1" applyFill="1" applyBorder="1"/>
    <xf numFmtId="49" fontId="18" fillId="17" borderId="29" xfId="0" applyNumberFormat="1" applyFont="1" applyFill="1" applyBorder="1" applyAlignment="1"/>
    <xf numFmtId="0" fontId="8" fillId="17" borderId="53" xfId="0" applyFont="1" applyFill="1" applyBorder="1" applyAlignment="1">
      <alignment wrapText="1"/>
    </xf>
    <xf numFmtId="49" fontId="8" fillId="17" borderId="34" xfId="0" applyNumberFormat="1" applyFont="1" applyFill="1" applyBorder="1" applyAlignment="1"/>
    <xf numFmtId="0" fontId="8" fillId="17" borderId="18" xfId="0" applyFont="1" applyFill="1" applyBorder="1" applyAlignment="1">
      <alignment wrapText="1"/>
    </xf>
    <xf numFmtId="4" fontId="25" fillId="17" borderId="60" xfId="0" applyNumberFormat="1" applyFont="1" applyFill="1" applyBorder="1" applyAlignment="1"/>
    <xf numFmtId="49" fontId="21" fillId="17" borderId="14" xfId="0" applyNumberFormat="1" applyFont="1" applyFill="1" applyBorder="1" applyAlignment="1"/>
    <xf numFmtId="0" fontId="32" fillId="17" borderId="8" xfId="0" applyFont="1" applyFill="1" applyBorder="1" applyAlignment="1">
      <alignment wrapText="1"/>
    </xf>
    <xf numFmtId="49" fontId="45" fillId="17" borderId="29" xfId="0" applyNumberFormat="1" applyFont="1" applyFill="1" applyBorder="1" applyAlignment="1"/>
    <xf numFmtId="4" fontId="28" fillId="17" borderId="29" xfId="0" applyNumberFormat="1" applyFont="1" applyFill="1" applyBorder="1"/>
    <xf numFmtId="4" fontId="28" fillId="17" borderId="29" xfId="0" applyNumberFormat="1" applyFont="1" applyFill="1" applyBorder="1" applyAlignment="1"/>
    <xf numFmtId="4" fontId="28" fillId="17" borderId="26" xfId="0" applyNumberFormat="1" applyFont="1" applyFill="1" applyBorder="1" applyAlignment="1"/>
    <xf numFmtId="4" fontId="25" fillId="18" borderId="29" xfId="0" applyNumberFormat="1" applyFont="1" applyFill="1" applyBorder="1"/>
    <xf numFmtId="4" fontId="27" fillId="18" borderId="29" xfId="0" applyNumberFormat="1" applyFont="1" applyFill="1" applyBorder="1" applyAlignment="1"/>
    <xf numFmtId="4" fontId="25" fillId="19" borderId="29" xfId="0" applyNumberFormat="1" applyFont="1" applyFill="1" applyBorder="1"/>
    <xf numFmtId="4" fontId="27" fillId="19" borderId="29" xfId="0" applyNumberFormat="1" applyFont="1" applyFill="1" applyBorder="1" applyAlignment="1"/>
    <xf numFmtId="4" fontId="27" fillId="19" borderId="29" xfId="4" applyNumberFormat="1" applyFont="1" applyFill="1" applyBorder="1"/>
    <xf numFmtId="4" fontId="27" fillId="19" borderId="26" xfId="0" applyNumberFormat="1" applyFont="1" applyFill="1" applyBorder="1" applyAlignment="1"/>
    <xf numFmtId="49" fontId="21" fillId="19" borderId="29" xfId="0" applyNumberFormat="1" applyFont="1" applyFill="1" applyBorder="1" applyAlignment="1"/>
    <xf numFmtId="0" fontId="11" fillId="19" borderId="29" xfId="0" applyFont="1" applyFill="1" applyBorder="1" applyAlignment="1">
      <alignment wrapText="1"/>
    </xf>
    <xf numFmtId="0" fontId="2" fillId="19" borderId="11" xfId="0" applyFont="1" applyFill="1" applyBorder="1" applyAlignment="1">
      <alignment wrapText="1"/>
    </xf>
    <xf numFmtId="49" fontId="20" fillId="19" borderId="11" xfId="0" applyNumberFormat="1" applyFont="1" applyFill="1" applyBorder="1" applyAlignment="1"/>
    <xf numFmtId="4" fontId="25" fillId="19" borderId="11" xfId="0" applyNumberFormat="1" applyFont="1" applyFill="1" applyBorder="1"/>
    <xf numFmtId="4" fontId="27" fillId="19" borderId="11" xfId="0" applyNumberFormat="1" applyFont="1" applyFill="1" applyBorder="1" applyAlignment="1"/>
    <xf numFmtId="4" fontId="27" fillId="19" borderId="11" xfId="4" applyNumberFormat="1" applyFont="1" applyFill="1" applyBorder="1"/>
    <xf numFmtId="4" fontId="27" fillId="2" borderId="7" xfId="0" applyNumberFormat="1" applyFont="1" applyFill="1" applyBorder="1" applyAlignment="1"/>
    <xf numFmtId="4" fontId="27" fillId="2" borderId="7" xfId="4" applyNumberFormat="1" applyFont="1" applyFill="1" applyBorder="1"/>
    <xf numFmtId="49" fontId="18" fillId="18" borderId="7" xfId="0" applyNumberFormat="1" applyFont="1" applyFill="1" applyBorder="1" applyAlignment="1"/>
    <xf numFmtId="4" fontId="25" fillId="18" borderId="7" xfId="0" applyNumberFormat="1" applyFont="1" applyFill="1" applyBorder="1"/>
    <xf numFmtId="4" fontId="27" fillId="18" borderId="7" xfId="0" applyNumberFormat="1" applyFont="1" applyFill="1" applyBorder="1" applyAlignment="1"/>
    <xf numFmtId="0" fontId="2" fillId="18" borderId="1" xfId="0" applyFont="1" applyFill="1" applyBorder="1" applyAlignment="1">
      <alignment wrapText="1"/>
    </xf>
    <xf numFmtId="4" fontId="25" fillId="18" borderId="1" xfId="0" applyNumberFormat="1" applyFont="1" applyFill="1" applyBorder="1"/>
    <xf numFmtId="0" fontId="2" fillId="18" borderId="8" xfId="0" applyFont="1" applyFill="1" applyBorder="1" applyAlignment="1">
      <alignment wrapText="1"/>
    </xf>
    <xf numFmtId="0" fontId="2" fillId="18" borderId="9" xfId="0" applyFont="1" applyFill="1" applyBorder="1" applyAlignment="1">
      <alignment wrapText="1"/>
    </xf>
    <xf numFmtId="4" fontId="25" fillId="18" borderId="9" xfId="0" applyNumberFormat="1" applyFont="1" applyFill="1" applyBorder="1"/>
    <xf numFmtId="49" fontId="20" fillId="18" borderId="1" xfId="0" applyNumberFormat="1" applyFont="1" applyFill="1" applyBorder="1" applyAlignment="1"/>
    <xf numFmtId="49" fontId="18" fillId="18" borderId="29" xfId="0" applyNumberFormat="1" applyFont="1" applyFill="1" applyBorder="1" applyAlignment="1"/>
    <xf numFmtId="49" fontId="18" fillId="18" borderId="9" xfId="0" applyNumberFormat="1" applyFont="1" applyFill="1" applyBorder="1" applyAlignment="1"/>
    <xf numFmtId="4" fontId="27" fillId="18" borderId="9" xfId="0" applyNumberFormat="1" applyFont="1" applyFill="1" applyBorder="1" applyAlignment="1"/>
    <xf numFmtId="0" fontId="2" fillId="18" borderId="7" xfId="0" applyFont="1" applyFill="1" applyBorder="1" applyAlignment="1">
      <alignment wrapText="1"/>
    </xf>
    <xf numFmtId="4" fontId="27" fillId="18" borderId="1" xfId="4" applyNumberFormat="1" applyFont="1" applyFill="1" applyBorder="1"/>
    <xf numFmtId="4" fontId="25" fillId="18" borderId="11" xfId="0" applyNumberFormat="1" applyFont="1" applyFill="1" applyBorder="1"/>
    <xf numFmtId="4" fontId="27" fillId="18" borderId="11" xfId="4" applyNumberFormat="1" applyFont="1" applyFill="1" applyBorder="1"/>
    <xf numFmtId="4" fontId="27" fillId="18" borderId="1" xfId="0" applyNumberFormat="1" applyFont="1" applyFill="1" applyBorder="1" applyAlignment="1"/>
    <xf numFmtId="4" fontId="25" fillId="18" borderId="1" xfId="4" applyNumberFormat="1" applyFont="1" applyFill="1" applyBorder="1"/>
    <xf numFmtId="4" fontId="27" fillId="2" borderId="1" xfId="0" applyNumberFormat="1" applyFont="1" applyFill="1" applyBorder="1" applyAlignment="1"/>
    <xf numFmtId="4" fontId="27" fillId="2" borderId="9" xfId="0" applyNumberFormat="1" applyFont="1" applyFill="1" applyBorder="1" applyAlignment="1"/>
    <xf numFmtId="4" fontId="27" fillId="2" borderId="11" xfId="0" applyNumberFormat="1" applyFont="1" applyFill="1" applyBorder="1" applyAlignment="1"/>
    <xf numFmtId="4" fontId="27" fillId="2" borderId="9" xfId="4" applyNumberFormat="1" applyFont="1" applyFill="1" applyBorder="1"/>
    <xf numFmtId="4" fontId="27" fillId="2" borderId="1" xfId="4" applyNumberFormat="1" applyFont="1" applyFill="1" applyBorder="1"/>
    <xf numFmtId="4" fontId="25" fillId="2" borderId="1" xfId="0" applyNumberFormat="1" applyFont="1" applyFill="1" applyBorder="1" applyAlignment="1"/>
    <xf numFmtId="4" fontId="27" fillId="2" borderId="11" xfId="4" applyNumberFormat="1" applyFont="1" applyFill="1" applyBorder="1"/>
    <xf numFmtId="4" fontId="27" fillId="2" borderId="4" xfId="0" applyNumberFormat="1" applyFont="1" applyFill="1" applyBorder="1" applyAlignment="1"/>
    <xf numFmtId="4" fontId="27" fillId="2" borderId="5" xfId="0" applyNumberFormat="1" applyFont="1" applyFill="1" applyBorder="1" applyAlignment="1"/>
    <xf numFmtId="4" fontId="27" fillId="2" borderId="6" xfId="0" applyNumberFormat="1" applyFont="1" applyFill="1" applyBorder="1" applyAlignment="1"/>
    <xf numFmtId="4" fontId="27" fillId="2" borderId="4" xfId="4" applyNumberFormat="1" applyFont="1" applyFill="1" applyBorder="1"/>
    <xf numFmtId="4" fontId="27" fillId="2" borderId="19" xfId="0" applyNumberFormat="1" applyFont="1" applyFill="1" applyBorder="1" applyAlignment="1"/>
    <xf numFmtId="4" fontId="20" fillId="2" borderId="9" xfId="0" applyNumberFormat="1" applyFont="1" applyFill="1" applyBorder="1" applyAlignment="1"/>
    <xf numFmtId="4" fontId="20" fillId="2" borderId="1" xfId="0" applyNumberFormat="1" applyFont="1" applyFill="1" applyBorder="1" applyAlignment="1"/>
    <xf numFmtId="4" fontId="20" fillId="2" borderId="11" xfId="0" applyNumberFormat="1" applyFont="1" applyFill="1" applyBorder="1" applyAlignment="1"/>
    <xf numFmtId="4" fontId="20" fillId="2" borderId="19" xfId="0" applyNumberFormat="1" applyFont="1" applyFill="1" applyBorder="1" applyAlignment="1"/>
    <xf numFmtId="4" fontId="27" fillId="2" borderId="33" xfId="0" applyNumberFormat="1" applyFont="1" applyFill="1" applyBorder="1" applyAlignment="1"/>
    <xf numFmtId="4" fontId="25" fillId="2" borderId="7" xfId="0" applyNumberFormat="1" applyFont="1" applyFill="1" applyBorder="1" applyAlignment="1"/>
    <xf numFmtId="4" fontId="21" fillId="2" borderId="1" xfId="0" applyNumberFormat="1" applyFont="1" applyFill="1" applyBorder="1" applyAlignment="1"/>
    <xf numFmtId="4" fontId="21" fillId="2" borderId="11" xfId="0" applyNumberFormat="1" applyFont="1" applyFill="1" applyBorder="1" applyAlignment="1"/>
    <xf numFmtId="4" fontId="27" fillId="2" borderId="14" xfId="0" applyNumberFormat="1" applyFont="1" applyFill="1" applyBorder="1" applyAlignment="1"/>
    <xf numFmtId="4" fontId="27" fillId="2" borderId="60" xfId="0" applyNumberFormat="1" applyFont="1" applyFill="1" applyBorder="1" applyAlignment="1"/>
    <xf numFmtId="4" fontId="25" fillId="2" borderId="19" xfId="0" applyNumberFormat="1" applyFont="1" applyFill="1" applyBorder="1" applyAlignment="1"/>
    <xf numFmtId="4" fontId="25" fillId="2" borderId="33" xfId="0" applyNumberFormat="1" applyFont="1" applyFill="1" applyBorder="1" applyAlignment="1"/>
    <xf numFmtId="4" fontId="28" fillId="2" borderId="9" xfId="0" applyNumberFormat="1" applyFont="1" applyFill="1" applyBorder="1" applyAlignment="1"/>
    <xf numFmtId="4" fontId="25" fillId="2" borderId="9" xfId="4" applyNumberFormat="1" applyFont="1" applyFill="1" applyBorder="1"/>
    <xf numFmtId="4" fontId="25" fillId="2" borderId="11" xfId="4" applyNumberFormat="1" applyFont="1" applyFill="1" applyBorder="1"/>
    <xf numFmtId="49" fontId="56" fillId="0" borderId="1" xfId="0" applyNumberFormat="1" applyFont="1" applyBorder="1"/>
    <xf numFmtId="0" fontId="55" fillId="0" borderId="15" xfId="0" applyFont="1" applyBorder="1" applyAlignment="1">
      <alignment wrapText="1"/>
    </xf>
    <xf numFmtId="4" fontId="53" fillId="0" borderId="11" xfId="0" applyNumberFormat="1" applyFont="1" applyBorder="1"/>
    <xf numFmtId="4" fontId="53" fillId="0" borderId="71" xfId="0" applyNumberFormat="1" applyFont="1" applyBorder="1"/>
    <xf numFmtId="2" fontId="43" fillId="0" borderId="20" xfId="0" applyNumberFormat="1" applyFont="1" applyFill="1" applyBorder="1" applyAlignment="1">
      <alignment vertical="top" wrapText="1"/>
    </xf>
    <xf numFmtId="49" fontId="58" fillId="0" borderId="39" xfId="0" applyNumberFormat="1" applyFont="1" applyFill="1" applyBorder="1"/>
    <xf numFmtId="4" fontId="46" fillId="0" borderId="34" xfId="0" applyNumberFormat="1" applyFont="1" applyBorder="1"/>
    <xf numFmtId="4" fontId="46" fillId="9" borderId="34" xfId="0" applyNumberFormat="1" applyFont="1" applyFill="1" applyBorder="1"/>
    <xf numFmtId="4" fontId="46" fillId="0" borderId="35" xfId="0" applyNumberFormat="1" applyFont="1" applyBorder="1"/>
    <xf numFmtId="2" fontId="5" fillId="0" borderId="1" xfId="0" applyNumberFormat="1" applyFont="1" applyBorder="1" applyAlignment="1">
      <alignment vertical="top" wrapText="1"/>
    </xf>
    <xf numFmtId="49" fontId="57" fillId="0" borderId="11" xfId="0" applyNumberFormat="1" applyFont="1" applyBorder="1"/>
    <xf numFmtId="0" fontId="2" fillId="0" borderId="8" xfId="0" applyFont="1" applyFill="1" applyBorder="1" applyAlignment="1">
      <alignment wrapText="1"/>
    </xf>
    <xf numFmtId="49" fontId="18" fillId="0" borderId="29" xfId="0" applyNumberFormat="1" applyFont="1" applyFill="1" applyBorder="1" applyAlignment="1"/>
    <xf numFmtId="4" fontId="27" fillId="0" borderId="26" xfId="0" applyNumberFormat="1" applyFont="1" applyFill="1" applyBorder="1" applyAlignment="1"/>
    <xf numFmtId="0" fontId="21" fillId="11" borderId="20" xfId="0" applyFont="1" applyFill="1" applyBorder="1" applyAlignment="1">
      <alignment wrapText="1"/>
    </xf>
    <xf numFmtId="0" fontId="42" fillId="11" borderId="5" xfId="0" applyFont="1" applyFill="1" applyBorder="1" applyAlignment="1">
      <alignment wrapText="1"/>
    </xf>
    <xf numFmtId="49" fontId="42" fillId="11" borderId="1" xfId="0" applyNumberFormat="1" applyFont="1" applyFill="1" applyBorder="1" applyAlignment="1"/>
    <xf numFmtId="4" fontId="42" fillId="11" borderId="7" xfId="0" applyNumberFormat="1" applyFont="1" applyFill="1" applyBorder="1"/>
    <xf numFmtId="4" fontId="42" fillId="11" borderId="7" xfId="4" applyNumberFormat="1" applyFont="1" applyFill="1" applyBorder="1"/>
    <xf numFmtId="0" fontId="42" fillId="11" borderId="18" xfId="0" applyFont="1" applyFill="1" applyBorder="1" applyAlignment="1">
      <alignment wrapText="1"/>
    </xf>
    <xf numFmtId="4" fontId="42" fillId="11" borderId="29" xfId="0" applyNumberFormat="1" applyFont="1" applyFill="1" applyBorder="1"/>
    <xf numFmtId="4" fontId="69" fillId="11" borderId="29" xfId="4" applyNumberFormat="1" applyFont="1" applyFill="1" applyBorder="1"/>
    <xf numFmtId="0" fontId="42" fillId="11" borderId="1" xfId="0" applyFont="1" applyFill="1" applyBorder="1" applyAlignment="1">
      <alignment wrapText="1"/>
    </xf>
    <xf numFmtId="4" fontId="42" fillId="11" borderId="1" xfId="0" applyNumberFormat="1" applyFont="1" applyFill="1" applyBorder="1"/>
    <xf numFmtId="4" fontId="69" fillId="11" borderId="1" xfId="0" applyNumberFormat="1" applyFont="1" applyFill="1" applyBorder="1" applyAlignment="1"/>
    <xf numFmtId="0" fontId="21" fillId="0" borderId="1" xfId="0" applyFont="1" applyFill="1" applyBorder="1" applyAlignment="1">
      <alignment wrapText="1"/>
    </xf>
    <xf numFmtId="0" fontId="21" fillId="17" borderId="54" xfId="0" applyFont="1" applyFill="1" applyBorder="1" applyAlignment="1">
      <alignment wrapText="1"/>
    </xf>
    <xf numFmtId="4" fontId="21" fillId="17" borderId="50" xfId="0" applyNumberFormat="1" applyFont="1" applyFill="1" applyBorder="1" applyAlignment="1"/>
    <xf numFmtId="0" fontId="2" fillId="0" borderId="11" xfId="0" applyFont="1" applyFill="1" applyBorder="1" applyAlignment="1">
      <alignment wrapText="1"/>
    </xf>
    <xf numFmtId="4" fontId="25" fillId="5" borderId="45" xfId="0" applyNumberFormat="1" applyFont="1" applyFill="1" applyBorder="1" applyAlignment="1"/>
    <xf numFmtId="0" fontId="56" fillId="0" borderId="54" xfId="0" applyFont="1" applyBorder="1" applyAlignment="1">
      <alignment wrapText="1"/>
    </xf>
    <xf numFmtId="49" fontId="16" fillId="0" borderId="41" xfId="0" applyNumberFormat="1" applyFont="1" applyFill="1" applyBorder="1" applyAlignment="1">
      <alignment horizontal="left"/>
    </xf>
    <xf numFmtId="49" fontId="1" fillId="0" borderId="41" xfId="0" applyNumberFormat="1" applyFont="1" applyFill="1" applyBorder="1" applyAlignment="1">
      <alignment horizontal="left"/>
    </xf>
    <xf numFmtId="49" fontId="2" fillId="0" borderId="41" xfId="0" applyNumberFormat="1" applyFont="1" applyBorder="1" applyAlignment="1">
      <alignment horizontal="left"/>
    </xf>
    <xf numFmtId="49" fontId="2" fillId="0" borderId="41" xfId="0" applyNumberFormat="1" applyFont="1" applyFill="1" applyBorder="1" applyAlignment="1">
      <alignment horizontal="left"/>
    </xf>
    <xf numFmtId="4" fontId="25" fillId="0" borderId="4" xfId="0" applyNumberFormat="1" applyFont="1" applyFill="1" applyBorder="1" applyAlignment="1"/>
    <xf numFmtId="4" fontId="46" fillId="0" borderId="50" xfId="0" applyNumberFormat="1" applyFont="1" applyBorder="1"/>
    <xf numFmtId="4" fontId="46" fillId="9" borderId="50" xfId="0" applyNumberFormat="1" applyFont="1" applyFill="1" applyBorder="1"/>
    <xf numFmtId="4" fontId="46" fillId="0" borderId="60" xfId="0" applyNumberFormat="1" applyFont="1" applyBorder="1"/>
    <xf numFmtId="4" fontId="52" fillId="0" borderId="34" xfId="0" applyNumberFormat="1" applyFont="1" applyBorder="1"/>
    <xf numFmtId="4" fontId="52" fillId="9" borderId="34" xfId="0" applyNumberFormat="1" applyFont="1" applyFill="1" applyBorder="1"/>
    <xf numFmtId="4" fontId="52" fillId="0" borderId="35" xfId="0" applyNumberFormat="1" applyFont="1" applyBorder="1"/>
    <xf numFmtId="49" fontId="55" fillId="0" borderId="1" xfId="0" applyNumberFormat="1" applyFont="1" applyBorder="1"/>
    <xf numFmtId="4" fontId="0" fillId="7" borderId="55" xfId="0" applyNumberFormat="1" applyFill="1" applyBorder="1"/>
    <xf numFmtId="4" fontId="0" fillId="7" borderId="18" xfId="0" applyNumberFormat="1" applyFill="1" applyBorder="1"/>
    <xf numFmtId="0" fontId="0" fillId="0" borderId="5" xfId="0" applyFill="1" applyBorder="1"/>
    <xf numFmtId="0" fontId="0" fillId="0" borderId="4" xfId="0" applyFill="1" applyBorder="1"/>
    <xf numFmtId="0" fontId="0" fillId="3" borderId="4" xfId="0" applyFill="1" applyBorder="1"/>
    <xf numFmtId="0" fontId="0" fillId="0" borderId="5" xfId="0" applyBorder="1"/>
    <xf numFmtId="0" fontId="0" fillId="0" borderId="5" xfId="0" applyBorder="1" applyAlignment="1">
      <alignment wrapText="1"/>
    </xf>
    <xf numFmtId="0" fontId="0" fillId="3" borderId="5" xfId="0" applyFill="1" applyBorder="1" applyAlignment="1">
      <alignment wrapText="1"/>
    </xf>
    <xf numFmtId="0" fontId="0" fillId="0" borderId="5" xfId="0" applyFill="1" applyBorder="1" applyAlignment="1">
      <alignment wrapText="1"/>
    </xf>
    <xf numFmtId="0" fontId="0" fillId="3" borderId="5" xfId="0" applyFill="1" applyBorder="1"/>
    <xf numFmtId="0" fontId="12" fillId="0" borderId="5" xfId="0" applyFont="1" applyBorder="1"/>
    <xf numFmtId="0" fontId="12" fillId="0" borderId="5" xfId="0" applyFont="1" applyFill="1" applyBorder="1"/>
    <xf numFmtId="0" fontId="12" fillId="3" borderId="5" xfId="0" applyFont="1" applyFill="1" applyBorder="1"/>
    <xf numFmtId="0" fontId="10" fillId="0" borderId="5" xfId="0" applyFont="1" applyFill="1" applyBorder="1"/>
    <xf numFmtId="0" fontId="0" fillId="3" borderId="6" xfId="0" applyFill="1" applyBorder="1"/>
    <xf numFmtId="0" fontId="0" fillId="9" borderId="28" xfId="0" applyFill="1" applyBorder="1"/>
    <xf numFmtId="0" fontId="0" fillId="0" borderId="6" xfId="0" applyFill="1" applyBorder="1" applyAlignment="1">
      <alignment wrapText="1"/>
    </xf>
    <xf numFmtId="0" fontId="21" fillId="0" borderId="48" xfId="0" applyFont="1" applyFill="1" applyBorder="1" applyAlignment="1">
      <alignment wrapText="1"/>
    </xf>
    <xf numFmtId="4" fontId="27" fillId="0" borderId="24" xfId="0" applyNumberFormat="1" applyFont="1" applyFill="1" applyBorder="1" applyAlignment="1"/>
    <xf numFmtId="4" fontId="27" fillId="0" borderId="49" xfId="4" applyNumberFormat="1" applyFont="1" applyFill="1" applyBorder="1"/>
    <xf numFmtId="4" fontId="52" fillId="0" borderId="50" xfId="0" applyNumberFormat="1" applyFont="1" applyBorder="1"/>
    <xf numFmtId="4" fontId="52" fillId="9" borderId="50" xfId="0" applyNumberFormat="1" applyFont="1" applyFill="1" applyBorder="1"/>
    <xf numFmtId="4" fontId="52" fillId="0" borderId="60" xfId="0" applyNumberFormat="1" applyFont="1" applyBorder="1"/>
    <xf numFmtId="4" fontId="52" fillId="0" borderId="1" xfId="0" applyNumberFormat="1" applyFont="1" applyBorder="1"/>
    <xf numFmtId="4" fontId="52" fillId="9" borderId="1" xfId="0" applyNumberFormat="1" applyFont="1" applyFill="1" applyBorder="1"/>
    <xf numFmtId="4" fontId="27" fillId="2" borderId="13" xfId="0" applyNumberFormat="1" applyFont="1" applyFill="1" applyBorder="1" applyAlignment="1"/>
    <xf numFmtId="4" fontId="70" fillId="0" borderId="1" xfId="3" applyNumberFormat="1" applyFont="1" applyBorder="1" applyAlignment="1"/>
    <xf numFmtId="4" fontId="1" fillId="5" borderId="3" xfId="0" applyNumberFormat="1" applyFont="1" applyFill="1" applyBorder="1" applyAlignment="1">
      <alignment wrapText="1"/>
    </xf>
    <xf numFmtId="4" fontId="12" fillId="16" borderId="3" xfId="0" applyNumberFormat="1" applyFont="1" applyFill="1" applyBorder="1"/>
    <xf numFmtId="4" fontId="11" fillId="16" borderId="17" xfId="0" applyNumberFormat="1" applyFont="1" applyFill="1" applyBorder="1" applyAlignment="1">
      <alignment horizontal="center"/>
    </xf>
    <xf numFmtId="4" fontId="1" fillId="16" borderId="5" xfId="0" applyNumberFormat="1" applyFont="1" applyFill="1" applyBorder="1" applyAlignment="1">
      <alignment horizontal="center"/>
    </xf>
    <xf numFmtId="4" fontId="11" fillId="16" borderId="16" xfId="0" applyNumberFormat="1" applyFont="1" applyFill="1" applyBorder="1" applyAlignment="1">
      <alignment horizontal="center"/>
    </xf>
    <xf numFmtId="49" fontId="13" fillId="5" borderId="3" xfId="3" applyNumberFormat="1" applyFont="1" applyFill="1" applyBorder="1" applyAlignment="1"/>
    <xf numFmtId="0" fontId="12" fillId="0" borderId="0" xfId="0" applyFont="1"/>
    <xf numFmtId="49" fontId="63" fillId="0" borderId="57" xfId="0" applyNumberFormat="1" applyFont="1" applyBorder="1"/>
    <xf numFmtId="49" fontId="55" fillId="0" borderId="19" xfId="0" applyNumberFormat="1" applyFont="1" applyBorder="1"/>
    <xf numFmtId="4" fontId="48" fillId="0" borderId="11" xfId="0" applyNumberFormat="1" applyFont="1" applyBorder="1"/>
    <xf numFmtId="4" fontId="50" fillId="0" borderId="71" xfId="0" applyNumberFormat="1" applyFont="1" applyBorder="1"/>
    <xf numFmtId="4" fontId="59" fillId="0" borderId="1" xfId="0" applyNumberFormat="1" applyFont="1" applyBorder="1"/>
    <xf numFmtId="0" fontId="0" fillId="0" borderId="0" xfId="0" applyBorder="1" applyAlignment="1">
      <alignment horizontal="left"/>
    </xf>
    <xf numFmtId="0" fontId="72" fillId="0" borderId="18" xfId="0" applyFont="1" applyBorder="1" applyAlignment="1">
      <alignment wrapText="1"/>
    </xf>
    <xf numFmtId="4" fontId="73" fillId="0" borderId="25" xfId="0" applyNumberFormat="1" applyFont="1" applyFill="1" applyBorder="1"/>
    <xf numFmtId="49" fontId="4" fillId="0" borderId="12" xfId="0" applyNumberFormat="1" applyFont="1" applyBorder="1" applyAlignment="1">
      <alignment horizontal="center" wrapText="1"/>
    </xf>
    <xf numFmtId="49" fontId="4" fillId="0" borderId="2" xfId="0" applyNumberFormat="1" applyFont="1" applyBorder="1" applyAlignment="1">
      <alignment horizontal="center" wrapText="1"/>
    </xf>
    <xf numFmtId="49" fontId="4" fillId="0" borderId="33" xfId="0" applyNumberFormat="1" applyFont="1" applyBorder="1" applyAlignment="1">
      <alignment horizontal="center" wrapText="1"/>
    </xf>
    <xf numFmtId="49" fontId="0" fillId="0" borderId="1" xfId="0" applyNumberFormat="1" applyBorder="1" applyAlignment="1">
      <alignment horizontal="center" wrapText="1"/>
    </xf>
    <xf numFmtId="39" fontId="4" fillId="0" borderId="1" xfId="0" applyNumberFormat="1" applyFont="1" applyBorder="1" applyAlignment="1">
      <alignment shrinkToFit="1"/>
    </xf>
    <xf numFmtId="39" fontId="4" fillId="0" borderId="1" xfId="0" applyNumberFormat="1" applyFont="1" applyFill="1" applyBorder="1" applyAlignment="1">
      <alignment shrinkToFit="1"/>
    </xf>
    <xf numFmtId="43" fontId="13" fillId="0" borderId="9" xfId="6" applyFont="1" applyBorder="1" applyAlignment="1">
      <alignment wrapText="1"/>
    </xf>
    <xf numFmtId="4" fontId="27" fillId="0" borderId="9" xfId="0" applyNumberFormat="1" applyFont="1" applyFill="1" applyBorder="1"/>
    <xf numFmtId="43" fontId="9" fillId="0" borderId="8" xfId="6" applyFont="1" applyBorder="1" applyAlignment="1">
      <alignment wrapText="1"/>
    </xf>
    <xf numFmtId="0" fontId="8" fillId="0" borderId="10" xfId="0" applyFont="1" applyBorder="1" applyAlignment="1">
      <alignment wrapText="1"/>
    </xf>
    <xf numFmtId="4" fontId="27" fillId="4" borderId="30" xfId="4" applyNumberFormat="1" applyFont="1" applyFill="1" applyBorder="1"/>
    <xf numFmtId="49" fontId="0" fillId="0" borderId="31" xfId="0" applyNumberFormat="1" applyBorder="1" applyAlignment="1">
      <alignment horizontal="center" wrapText="1"/>
    </xf>
    <xf numFmtId="4" fontId="27" fillId="20" borderId="0" xfId="0" applyNumberFormat="1" applyFont="1" applyFill="1" applyBorder="1" applyAlignment="1"/>
    <xf numFmtId="4" fontId="6" fillId="0" borderId="0" xfId="0" applyNumberFormat="1" applyFont="1" applyBorder="1"/>
    <xf numFmtId="0" fontId="21" fillId="11" borderId="1" xfId="0" applyFont="1" applyFill="1" applyBorder="1" applyAlignment="1">
      <alignment wrapText="1"/>
    </xf>
    <xf numFmtId="49" fontId="21" fillId="11" borderId="1" xfId="0" applyNumberFormat="1" applyFont="1" applyFill="1" applyBorder="1" applyAlignment="1"/>
    <xf numFmtId="4" fontId="25" fillId="11" borderId="1" xfId="0" applyNumberFormat="1" applyFont="1" applyFill="1" applyBorder="1"/>
    <xf numFmtId="4" fontId="27" fillId="11" borderId="1" xfId="0" applyNumberFormat="1" applyFont="1" applyFill="1" applyBorder="1" applyAlignment="1"/>
    <xf numFmtId="4" fontId="25" fillId="0" borderId="14" xfId="0" applyNumberFormat="1" applyFont="1" applyFill="1" applyBorder="1"/>
    <xf numFmtId="49" fontId="22" fillId="5" borderId="8" xfId="0" applyNumberFormat="1" applyFont="1" applyFill="1" applyBorder="1" applyAlignment="1"/>
    <xf numFmtId="0" fontId="25" fillId="0" borderId="49" xfId="3" applyFont="1" applyBorder="1" applyAlignment="1">
      <alignment horizontal="center"/>
    </xf>
    <xf numFmtId="0" fontId="25" fillId="0" borderId="48" xfId="3" applyFont="1" applyBorder="1" applyAlignment="1">
      <alignment horizontal="center"/>
    </xf>
    <xf numFmtId="0" fontId="25" fillId="0" borderId="52" xfId="3" applyFont="1" applyBorder="1" applyAlignment="1">
      <alignment horizontal="center"/>
    </xf>
    <xf numFmtId="0" fontId="25" fillId="0" borderId="72" xfId="3" applyFont="1" applyBorder="1" applyAlignment="1">
      <alignment horizontal="center"/>
    </xf>
    <xf numFmtId="4" fontId="29" fillId="11" borderId="25" xfId="0" applyNumberFormat="1" applyFont="1" applyFill="1" applyBorder="1"/>
    <xf numFmtId="4" fontId="36" fillId="11" borderId="29" xfId="0" applyNumberFormat="1" applyFont="1" applyFill="1" applyBorder="1" applyAlignment="1"/>
    <xf numFmtId="4" fontId="36" fillId="11" borderId="26" xfId="0" applyNumberFormat="1" applyFont="1" applyFill="1" applyBorder="1" applyAlignment="1"/>
    <xf numFmtId="4" fontId="27" fillId="16" borderId="1" xfId="0" applyNumberFormat="1" applyFont="1" applyFill="1" applyBorder="1" applyAlignment="1"/>
    <xf numFmtId="4" fontId="27" fillId="2" borderId="26" xfId="0" applyNumberFormat="1" applyFont="1" applyFill="1" applyBorder="1" applyAlignment="1"/>
    <xf numFmtId="0" fontId="8" fillId="11" borderId="25" xfId="0" applyFont="1" applyFill="1" applyBorder="1" applyAlignment="1">
      <alignment wrapText="1"/>
    </xf>
    <xf numFmtId="49" fontId="8" fillId="11" borderId="8" xfId="0" applyNumberFormat="1" applyFont="1" applyFill="1" applyBorder="1" applyAlignment="1"/>
    <xf numFmtId="4" fontId="27" fillId="2" borderId="0" xfId="0" applyNumberFormat="1" applyFont="1" applyFill="1" applyBorder="1" applyAlignment="1"/>
    <xf numFmtId="0" fontId="2" fillId="16" borderId="8" xfId="0" applyFont="1" applyFill="1" applyBorder="1" applyAlignment="1">
      <alignment wrapText="1"/>
    </xf>
    <xf numFmtId="49" fontId="18" fillId="16" borderId="29" xfId="0" applyNumberFormat="1" applyFont="1" applyFill="1" applyBorder="1" applyAlignment="1"/>
    <xf numFmtId="4" fontId="25" fillId="16" borderId="29" xfId="0" applyNumberFormat="1" applyFont="1" applyFill="1" applyBorder="1"/>
    <xf numFmtId="4" fontId="20" fillId="16" borderId="29" xfId="0" applyNumberFormat="1" applyFont="1" applyFill="1" applyBorder="1" applyAlignment="1"/>
    <xf numFmtId="49" fontId="74" fillId="0" borderId="7" xfId="0" applyNumberFormat="1" applyFont="1" applyFill="1" applyBorder="1" applyAlignment="1">
      <alignment horizontal="left" vertical="center" wrapText="1"/>
    </xf>
    <xf numFmtId="0" fontId="21" fillId="0" borderId="9" xfId="0" applyFont="1" applyFill="1" applyBorder="1" applyAlignment="1">
      <alignment wrapText="1"/>
    </xf>
    <xf numFmtId="0" fontId="20" fillId="16" borderId="1" xfId="0" applyFont="1" applyFill="1" applyBorder="1" applyAlignment="1">
      <alignment wrapText="1"/>
    </xf>
    <xf numFmtId="0" fontId="32" fillId="16" borderId="18" xfId="0" applyFont="1" applyFill="1" applyBorder="1" applyAlignment="1">
      <alignment wrapText="1"/>
    </xf>
    <xf numFmtId="49" fontId="21" fillId="16" borderId="50" xfId="0" applyNumberFormat="1" applyFont="1" applyFill="1" applyBorder="1" applyAlignment="1"/>
    <xf numFmtId="4" fontId="27" fillId="16" borderId="29" xfId="0" applyNumberFormat="1" applyFont="1" applyFill="1" applyBorder="1" applyAlignment="1"/>
    <xf numFmtId="4" fontId="27" fillId="16" borderId="45" xfId="0" applyNumberFormat="1" applyFont="1" applyFill="1" applyBorder="1" applyAlignment="1"/>
    <xf numFmtId="4" fontId="25" fillId="21" borderId="29" xfId="0" applyNumberFormat="1" applyFont="1" applyFill="1" applyBorder="1"/>
    <xf numFmtId="4" fontId="27" fillId="21" borderId="29" xfId="0" applyNumberFormat="1" applyFont="1" applyFill="1" applyBorder="1" applyAlignment="1"/>
    <xf numFmtId="49" fontId="21" fillId="11" borderId="34" xfId="0" applyNumberFormat="1" applyFont="1" applyFill="1" applyBorder="1" applyAlignment="1"/>
    <xf numFmtId="4" fontId="21" fillId="11" borderId="34" xfId="0" applyNumberFormat="1" applyFont="1" applyFill="1" applyBorder="1"/>
    <xf numFmtId="4" fontId="21" fillId="11" borderId="34" xfId="0" applyNumberFormat="1" applyFont="1" applyFill="1" applyBorder="1" applyAlignment="1"/>
    <xf numFmtId="0" fontId="8" fillId="5" borderId="20" xfId="0" applyFont="1" applyFill="1" applyBorder="1" applyAlignment="1">
      <alignment wrapText="1"/>
    </xf>
    <xf numFmtId="49" fontId="21" fillId="5" borderId="53" xfId="0" applyNumberFormat="1" applyFont="1" applyFill="1" applyBorder="1" applyAlignment="1"/>
    <xf numFmtId="4" fontId="25" fillId="5" borderId="34" xfId="4" applyNumberFormat="1" applyFont="1" applyFill="1" applyBorder="1"/>
    <xf numFmtId="0" fontId="2" fillId="21" borderId="9" xfId="0" applyFont="1" applyFill="1" applyBorder="1" applyAlignment="1">
      <alignment wrapText="1"/>
    </xf>
    <xf numFmtId="49" fontId="18" fillId="21" borderId="9" xfId="0" applyNumberFormat="1" applyFont="1" applyFill="1" applyBorder="1" applyAlignment="1"/>
    <xf numFmtId="4" fontId="25" fillId="21" borderId="9" xfId="0" applyNumberFormat="1" applyFont="1" applyFill="1" applyBorder="1"/>
    <xf numFmtId="4" fontId="27" fillId="21" borderId="9" xfId="0" applyNumberFormat="1" applyFont="1" applyFill="1" applyBorder="1" applyAlignment="1"/>
    <xf numFmtId="0" fontId="2" fillId="21" borderId="8" xfId="0" applyFont="1" applyFill="1" applyBorder="1" applyAlignment="1">
      <alignment wrapText="1"/>
    </xf>
    <xf numFmtId="49" fontId="18" fillId="21" borderId="29" xfId="0" applyNumberFormat="1" applyFont="1" applyFill="1" applyBorder="1" applyAlignment="1"/>
    <xf numFmtId="4" fontId="27" fillId="21" borderId="26" xfId="0" applyNumberFormat="1" applyFont="1" applyFill="1" applyBorder="1" applyAlignment="1"/>
    <xf numFmtId="49" fontId="20" fillId="18" borderId="7" xfId="0" applyNumberFormat="1" applyFont="1" applyFill="1" applyBorder="1" applyAlignment="1"/>
    <xf numFmtId="49" fontId="20" fillId="0" borderId="29" xfId="0" applyNumberFormat="1" applyFont="1" applyFill="1" applyBorder="1" applyAlignment="1"/>
    <xf numFmtId="4" fontId="27" fillId="0" borderId="29" xfId="4" applyNumberFormat="1" applyFont="1" applyFill="1" applyBorder="1"/>
    <xf numFmtId="4" fontId="27" fillId="0" borderId="26" xfId="4" applyNumberFormat="1" applyFont="1" applyFill="1" applyBorder="1"/>
    <xf numFmtId="49" fontId="18" fillId="17" borderId="1" xfId="0" applyNumberFormat="1" applyFont="1" applyFill="1" applyBorder="1" applyAlignment="1"/>
    <xf numFmtId="49" fontId="8" fillId="11" borderId="54" xfId="0" applyNumberFormat="1" applyFont="1" applyFill="1" applyBorder="1" applyAlignment="1">
      <alignment horizontal="left" vertical="center" wrapText="1"/>
    </xf>
    <xf numFmtId="49" fontId="21" fillId="11" borderId="50" xfId="0" applyNumberFormat="1" applyFont="1" applyFill="1" applyBorder="1" applyAlignment="1"/>
    <xf numFmtId="49" fontId="8" fillId="0" borderId="1" xfId="0" applyNumberFormat="1" applyFont="1" applyFill="1" applyBorder="1" applyAlignment="1">
      <alignment horizontal="left" vertical="center" wrapText="1"/>
    </xf>
    <xf numFmtId="4" fontId="25" fillId="16" borderId="1" xfId="0" applyNumberFormat="1" applyFont="1" applyFill="1" applyBorder="1" applyAlignment="1"/>
    <xf numFmtId="4" fontId="25" fillId="16" borderId="9" xfId="0" applyNumberFormat="1" applyFont="1" applyFill="1" applyBorder="1"/>
    <xf numFmtId="49" fontId="20" fillId="16" borderId="1" xfId="0" applyNumberFormat="1" applyFont="1" applyFill="1" applyBorder="1" applyAlignment="1"/>
    <xf numFmtId="0" fontId="2" fillId="6" borderId="14" xfId="0" applyFont="1" applyFill="1" applyBorder="1" applyAlignment="1">
      <alignment wrapText="1"/>
    </xf>
    <xf numFmtId="49" fontId="20" fillId="6" borderId="9" xfId="0" applyNumberFormat="1" applyFont="1" applyFill="1" applyBorder="1" applyAlignment="1"/>
    <xf numFmtId="4" fontId="25" fillId="6" borderId="9" xfId="0" applyNumberFormat="1" applyFont="1" applyFill="1" applyBorder="1"/>
    <xf numFmtId="4" fontId="21" fillId="6" borderId="9" xfId="0" applyNumberFormat="1" applyFont="1" applyFill="1" applyBorder="1" applyAlignment="1"/>
    <xf numFmtId="49" fontId="21" fillId="17" borderId="54" xfId="0" applyNumberFormat="1" applyFont="1" applyFill="1" applyBorder="1" applyAlignment="1">
      <alignment horizontal="left" vertical="center" wrapText="1"/>
    </xf>
    <xf numFmtId="4" fontId="23" fillId="0" borderId="17" xfId="0" applyNumberFormat="1" applyFont="1" applyFill="1" applyBorder="1"/>
    <xf numFmtId="4" fontId="23" fillId="0" borderId="3" xfId="0" applyNumberFormat="1" applyFont="1" applyFill="1" applyBorder="1"/>
    <xf numFmtId="4" fontId="23" fillId="0" borderId="16" xfId="0" applyNumberFormat="1" applyFont="1" applyFill="1" applyBorder="1"/>
    <xf numFmtId="49" fontId="18" fillId="16" borderId="9" xfId="0" applyNumberFormat="1" applyFont="1" applyFill="1" applyBorder="1" applyAlignment="1"/>
    <xf numFmtId="4" fontId="27" fillId="16" borderId="9" xfId="0" applyNumberFormat="1" applyFont="1" applyFill="1" applyBorder="1" applyAlignment="1"/>
    <xf numFmtId="4" fontId="27" fillId="16" borderId="9" xfId="4" applyNumberFormat="1" applyFont="1" applyFill="1" applyBorder="1"/>
    <xf numFmtId="4" fontId="27" fillId="16" borderId="29" xfId="4" applyNumberFormat="1" applyFont="1" applyFill="1" applyBorder="1"/>
    <xf numFmtId="0" fontId="2" fillId="7" borderId="8" xfId="0" applyFont="1" applyFill="1" applyBorder="1" applyAlignment="1">
      <alignment wrapText="1"/>
    </xf>
    <xf numFmtId="4" fontId="25" fillId="7" borderId="29" xfId="0" applyNumberFormat="1" applyFont="1" applyFill="1" applyBorder="1"/>
    <xf numFmtId="4" fontId="27" fillId="7" borderId="29" xfId="0" applyNumberFormat="1" applyFont="1" applyFill="1" applyBorder="1" applyAlignment="1"/>
    <xf numFmtId="0" fontId="2" fillId="7" borderId="9" xfId="0" applyFont="1" applyFill="1" applyBorder="1" applyAlignment="1">
      <alignment wrapText="1"/>
    </xf>
    <xf numFmtId="49" fontId="18" fillId="7" borderId="9" xfId="0" applyNumberFormat="1" applyFont="1" applyFill="1" applyBorder="1" applyAlignment="1"/>
    <xf numFmtId="4" fontId="25" fillId="7" borderId="9" xfId="0" applyNumberFormat="1" applyFont="1" applyFill="1" applyBorder="1"/>
    <xf numFmtId="4" fontId="27" fillId="7" borderId="9" xfId="0" applyNumberFormat="1" applyFont="1" applyFill="1" applyBorder="1" applyAlignment="1"/>
    <xf numFmtId="4" fontId="27" fillId="7" borderId="9" xfId="4" applyNumberFormat="1" applyFont="1" applyFill="1" applyBorder="1"/>
    <xf numFmtId="0" fontId="2" fillId="7" borderId="1" xfId="0" applyFont="1" applyFill="1" applyBorder="1" applyAlignment="1">
      <alignment wrapText="1"/>
    </xf>
    <xf numFmtId="49" fontId="18" fillId="7" borderId="1" xfId="0" applyNumberFormat="1" applyFont="1" applyFill="1" applyBorder="1" applyAlignment="1"/>
    <xf numFmtId="4" fontId="27" fillId="7" borderId="1" xfId="0" applyNumberFormat="1" applyFont="1" applyFill="1" applyBorder="1" applyAlignment="1"/>
    <xf numFmtId="49" fontId="18" fillId="7" borderId="7" xfId="0" applyNumberFormat="1" applyFont="1" applyFill="1" applyBorder="1" applyAlignment="1"/>
    <xf numFmtId="4" fontId="25" fillId="7" borderId="7" xfId="0" applyNumberFormat="1" applyFont="1" applyFill="1" applyBorder="1"/>
    <xf numFmtId="4" fontId="27" fillId="7" borderId="7" xfId="0" applyNumberFormat="1" applyFont="1" applyFill="1" applyBorder="1" applyAlignment="1"/>
    <xf numFmtId="4" fontId="27" fillId="7" borderId="7" xfId="4" applyNumberFormat="1" applyFont="1" applyFill="1" applyBorder="1"/>
    <xf numFmtId="0" fontId="2" fillId="7" borderId="5" xfId="0" applyFont="1" applyFill="1" applyBorder="1" applyAlignment="1">
      <alignment wrapText="1"/>
    </xf>
    <xf numFmtId="49" fontId="18" fillId="7" borderId="11" xfId="0" applyNumberFormat="1" applyFont="1" applyFill="1" applyBorder="1" applyAlignment="1"/>
    <xf numFmtId="0" fontId="2" fillId="7" borderId="4" xfId="0" applyFont="1" applyFill="1" applyBorder="1" applyAlignment="1">
      <alignment wrapText="1"/>
    </xf>
    <xf numFmtId="4" fontId="27" fillId="7" borderId="26" xfId="0" applyNumberFormat="1" applyFont="1" applyFill="1" applyBorder="1" applyAlignment="1"/>
    <xf numFmtId="4" fontId="27" fillId="7" borderId="34" xfId="0" applyNumberFormat="1" applyFont="1" applyFill="1" applyBorder="1" applyAlignment="1"/>
    <xf numFmtId="4" fontId="25" fillId="7" borderId="34" xfId="0" applyNumberFormat="1" applyFont="1" applyFill="1" applyBorder="1"/>
    <xf numFmtId="4" fontId="27" fillId="7" borderId="34" xfId="4" applyNumberFormat="1" applyFont="1" applyFill="1" applyBorder="1"/>
    <xf numFmtId="4" fontId="27" fillId="7" borderId="6" xfId="0" applyNumberFormat="1" applyFont="1" applyFill="1" applyBorder="1" applyAlignment="1"/>
    <xf numFmtId="0" fontId="32" fillId="7" borderId="8" xfId="0" applyFont="1" applyFill="1" applyBorder="1" applyAlignment="1">
      <alignment wrapText="1"/>
    </xf>
    <xf numFmtId="49" fontId="21" fillId="7" borderId="29" xfId="0" applyNumberFormat="1" applyFont="1" applyFill="1" applyBorder="1" applyAlignment="1"/>
    <xf numFmtId="4" fontId="27" fillId="7" borderId="45" xfId="0" applyNumberFormat="1" applyFont="1" applyFill="1" applyBorder="1" applyAlignment="1"/>
    <xf numFmtId="4" fontId="27" fillId="7" borderId="33" xfId="0" applyNumberFormat="1" applyFont="1" applyFill="1" applyBorder="1" applyAlignment="1"/>
    <xf numFmtId="0" fontId="2" fillId="7" borderId="6" xfId="0" applyFont="1" applyFill="1" applyBorder="1" applyAlignment="1">
      <alignment wrapText="1"/>
    </xf>
    <xf numFmtId="4" fontId="27" fillId="7" borderId="13" xfId="0" applyNumberFormat="1" applyFont="1" applyFill="1" applyBorder="1" applyAlignment="1"/>
    <xf numFmtId="49" fontId="21" fillId="7" borderId="50" xfId="0" applyNumberFormat="1" applyFont="1" applyFill="1" applyBorder="1" applyAlignment="1"/>
    <xf numFmtId="0" fontId="8" fillId="0" borderId="73" xfId="0" applyFont="1" applyFill="1" applyBorder="1" applyAlignment="1">
      <alignment wrapText="1"/>
    </xf>
    <xf numFmtId="49" fontId="20" fillId="0" borderId="34" xfId="0" applyNumberFormat="1" applyFont="1" applyFill="1" applyBorder="1" applyAlignment="1"/>
    <xf numFmtId="4" fontId="25" fillId="0" borderId="34" xfId="0" applyNumberFormat="1" applyFont="1" applyFill="1" applyBorder="1"/>
    <xf numFmtId="4" fontId="27" fillId="0" borderId="34" xfId="0" applyNumberFormat="1" applyFont="1" applyFill="1" applyBorder="1" applyAlignment="1"/>
    <xf numFmtId="4" fontId="25" fillId="0" borderId="34" xfId="4" applyNumberFormat="1" applyFont="1" applyFill="1" applyBorder="1"/>
    <xf numFmtId="4" fontId="25" fillId="0" borderId="35" xfId="4" applyNumberFormat="1" applyFont="1" applyFill="1" applyBorder="1"/>
    <xf numFmtId="49" fontId="20" fillId="7" borderId="1" xfId="0" applyNumberFormat="1" applyFont="1" applyFill="1" applyBorder="1" applyAlignment="1"/>
    <xf numFmtId="4" fontId="25" fillId="7" borderId="1" xfId="4" applyNumberFormat="1" applyFont="1" applyFill="1" applyBorder="1"/>
    <xf numFmtId="0" fontId="9" fillId="5" borderId="8" xfId="0" applyFont="1" applyFill="1" applyBorder="1" applyAlignment="1">
      <alignment wrapText="1"/>
    </xf>
    <xf numFmtId="4" fontId="9" fillId="5" borderId="25" xfId="0" applyNumberFormat="1" applyFont="1" applyFill="1" applyBorder="1"/>
    <xf numFmtId="4" fontId="9" fillId="5" borderId="29" xfId="0" applyNumberFormat="1" applyFont="1" applyFill="1" applyBorder="1" applyAlignment="1"/>
    <xf numFmtId="0" fontId="2" fillId="14" borderId="8" xfId="0" applyFont="1" applyFill="1" applyBorder="1" applyAlignment="1">
      <alignment wrapText="1"/>
    </xf>
    <xf numFmtId="49" fontId="18" fillId="14" borderId="29" xfId="0" applyNumberFormat="1" applyFont="1" applyFill="1" applyBorder="1" applyAlignment="1"/>
    <xf numFmtId="4" fontId="25" fillId="14" borderId="29" xfId="0" applyNumberFormat="1" applyFont="1" applyFill="1" applyBorder="1"/>
    <xf numFmtId="4" fontId="27" fillId="14" borderId="29" xfId="0" applyNumberFormat="1" applyFont="1" applyFill="1" applyBorder="1" applyAlignment="1"/>
    <xf numFmtId="0" fontId="2" fillId="14" borderId="14" xfId="0" applyFont="1" applyFill="1" applyBorder="1" applyAlignment="1">
      <alignment wrapText="1"/>
    </xf>
    <xf numFmtId="49" fontId="18" fillId="14" borderId="9" xfId="0" applyNumberFormat="1" applyFont="1" applyFill="1" applyBorder="1" applyAlignment="1"/>
    <xf numFmtId="4" fontId="25" fillId="14" borderId="9" xfId="0" applyNumberFormat="1" applyFont="1" applyFill="1" applyBorder="1"/>
    <xf numFmtId="4" fontId="27" fillId="14" borderId="9" xfId="0" applyNumberFormat="1" applyFont="1" applyFill="1" applyBorder="1" applyAlignment="1"/>
    <xf numFmtId="4" fontId="27" fillId="14" borderId="9" xfId="4" applyNumberFormat="1" applyFont="1" applyFill="1" applyBorder="1"/>
    <xf numFmtId="49" fontId="18" fillId="14" borderId="1" xfId="0" applyNumberFormat="1" applyFont="1" applyFill="1" applyBorder="1" applyAlignment="1"/>
    <xf numFmtId="4" fontId="25" fillId="14" borderId="1" xfId="0" applyNumberFormat="1" applyFont="1" applyFill="1" applyBorder="1"/>
    <xf numFmtId="4" fontId="27" fillId="14" borderId="1" xfId="0" applyNumberFormat="1" applyFont="1" applyFill="1" applyBorder="1" applyAlignment="1"/>
    <xf numFmtId="4" fontId="27" fillId="14" borderId="1" xfId="4" applyNumberFormat="1" applyFont="1" applyFill="1" applyBorder="1"/>
    <xf numFmtId="4" fontId="27" fillId="14" borderId="29" xfId="4" applyNumberFormat="1" applyFont="1" applyFill="1" applyBorder="1"/>
    <xf numFmtId="4" fontId="27" fillId="14" borderId="26" xfId="0" applyNumberFormat="1" applyFont="1" applyFill="1" applyBorder="1" applyAlignment="1"/>
    <xf numFmtId="4" fontId="27" fillId="14" borderId="11" xfId="0" applyNumberFormat="1" applyFont="1" applyFill="1" applyBorder="1" applyAlignment="1"/>
    <xf numFmtId="4" fontId="25" fillId="14" borderId="11" xfId="0" applyNumberFormat="1" applyFont="1" applyFill="1" applyBorder="1"/>
    <xf numFmtId="4" fontId="27" fillId="14" borderId="11" xfId="4" applyNumberFormat="1" applyFont="1" applyFill="1" applyBorder="1"/>
    <xf numFmtId="0" fontId="2" fillId="14" borderId="9" xfId="0" applyFont="1" applyFill="1" applyBorder="1" applyAlignment="1">
      <alignment wrapText="1"/>
    </xf>
    <xf numFmtId="0" fontId="21" fillId="14" borderId="8" xfId="0" applyFont="1" applyFill="1" applyBorder="1" applyAlignment="1">
      <alignment wrapText="1"/>
    </xf>
    <xf numFmtId="49" fontId="21" fillId="14" borderId="18" xfId="0" applyNumberFormat="1" applyFont="1" applyFill="1" applyBorder="1" applyAlignment="1"/>
    <xf numFmtId="4" fontId="25" fillId="14" borderId="29" xfId="0" applyNumberFormat="1" applyFont="1" applyFill="1" applyBorder="1" applyAlignment="1"/>
    <xf numFmtId="4" fontId="25" fillId="14" borderId="29" xfId="4" applyNumberFormat="1" applyFont="1" applyFill="1" applyBorder="1"/>
    <xf numFmtId="4" fontId="25" fillId="14" borderId="26" xfId="0" applyNumberFormat="1" applyFont="1" applyFill="1" applyBorder="1" applyAlignment="1"/>
    <xf numFmtId="0" fontId="2" fillId="14" borderId="4" xfId="0" applyFont="1" applyFill="1" applyBorder="1" applyAlignment="1">
      <alignment wrapText="1"/>
    </xf>
    <xf numFmtId="4" fontId="27" fillId="14" borderId="33" xfId="0" applyNumberFormat="1" applyFont="1" applyFill="1" applyBorder="1" applyAlignment="1"/>
    <xf numFmtId="0" fontId="2" fillId="14" borderId="1" xfId="0" applyFont="1" applyFill="1" applyBorder="1" applyAlignment="1">
      <alignment wrapText="1"/>
    </xf>
    <xf numFmtId="0" fontId="2" fillId="14" borderId="5" xfId="0" applyFont="1" applyFill="1" applyBorder="1" applyAlignment="1">
      <alignment wrapText="1"/>
    </xf>
    <xf numFmtId="49" fontId="18" fillId="14" borderId="14" xfId="0" applyNumberFormat="1" applyFont="1" applyFill="1" applyBorder="1" applyAlignment="1"/>
    <xf numFmtId="4" fontId="27" fillId="14" borderId="19" xfId="0" applyNumberFormat="1" applyFont="1" applyFill="1" applyBorder="1" applyAlignment="1"/>
    <xf numFmtId="0" fontId="32" fillId="14" borderId="18" xfId="0" applyFont="1" applyFill="1" applyBorder="1" applyAlignment="1">
      <alignment wrapText="1"/>
    </xf>
    <xf numFmtId="49" fontId="21" fillId="14" borderId="50" xfId="0" applyNumberFormat="1" applyFont="1" applyFill="1" applyBorder="1" applyAlignment="1"/>
    <xf numFmtId="4" fontId="27" fillId="14" borderId="45" xfId="0" applyNumberFormat="1" applyFont="1" applyFill="1" applyBorder="1" applyAlignment="1"/>
    <xf numFmtId="0" fontId="32" fillId="14" borderId="58" xfId="0" applyFont="1" applyFill="1" applyBorder="1" applyAlignment="1">
      <alignment wrapText="1"/>
    </xf>
    <xf numFmtId="4" fontId="25" fillId="14" borderId="50" xfId="0" applyNumberFormat="1" applyFont="1" applyFill="1" applyBorder="1"/>
    <xf numFmtId="4" fontId="27" fillId="14" borderId="50" xfId="0" applyNumberFormat="1" applyFont="1" applyFill="1" applyBorder="1" applyAlignment="1"/>
    <xf numFmtId="4" fontId="27" fillId="14" borderId="57" xfId="0" applyNumberFormat="1" applyFont="1" applyFill="1" applyBorder="1" applyAlignment="1"/>
    <xf numFmtId="0" fontId="32" fillId="14" borderId="1" xfId="0" applyFont="1" applyFill="1" applyBorder="1" applyAlignment="1">
      <alignment wrapText="1"/>
    </xf>
    <xf numFmtId="49" fontId="21" fillId="14" borderId="1" xfId="0" applyNumberFormat="1" applyFont="1" applyFill="1" applyBorder="1" applyAlignment="1"/>
    <xf numFmtId="0" fontId="32" fillId="14" borderId="53" xfId="0" applyFont="1" applyFill="1" applyBorder="1" applyAlignment="1">
      <alignment wrapText="1"/>
    </xf>
    <xf numFmtId="49" fontId="21" fillId="14" borderId="11" xfId="0" applyNumberFormat="1" applyFont="1" applyFill="1" applyBorder="1" applyAlignment="1"/>
    <xf numFmtId="4" fontId="25" fillId="14" borderId="34" xfId="0" applyNumberFormat="1" applyFont="1" applyFill="1" applyBorder="1"/>
    <xf numFmtId="4" fontId="27" fillId="14" borderId="34" xfId="0" applyNumberFormat="1" applyFont="1" applyFill="1" applyBorder="1" applyAlignment="1"/>
    <xf numFmtId="4" fontId="27" fillId="14" borderId="39" xfId="0" applyNumberFormat="1" applyFont="1" applyFill="1" applyBorder="1" applyAlignment="1"/>
    <xf numFmtId="4" fontId="25" fillId="14" borderId="25" xfId="0" applyNumberFormat="1" applyFont="1" applyFill="1" applyBorder="1"/>
    <xf numFmtId="4" fontId="27" fillId="14" borderId="30" xfId="0" applyNumberFormat="1" applyFont="1" applyFill="1" applyBorder="1" applyAlignment="1"/>
    <xf numFmtId="49" fontId="18" fillId="14" borderId="11" xfId="0" applyNumberFormat="1" applyFont="1" applyFill="1" applyBorder="1" applyAlignment="1"/>
    <xf numFmtId="4" fontId="25" fillId="14" borderId="0" xfId="0" applyNumberFormat="1" applyFont="1" applyFill="1" applyBorder="1"/>
    <xf numFmtId="4" fontId="27" fillId="14" borderId="0" xfId="0" applyNumberFormat="1" applyFont="1" applyFill="1" applyBorder="1" applyAlignment="1"/>
    <xf numFmtId="49" fontId="20" fillId="14" borderId="29" xfId="0" applyNumberFormat="1" applyFont="1" applyFill="1" applyBorder="1" applyAlignment="1"/>
    <xf numFmtId="4" fontId="27" fillId="14" borderId="26" xfId="4" applyNumberFormat="1" applyFont="1" applyFill="1" applyBorder="1"/>
    <xf numFmtId="0" fontId="2" fillId="14" borderId="11" xfId="0" applyFont="1" applyFill="1" applyBorder="1" applyAlignment="1">
      <alignment wrapText="1"/>
    </xf>
    <xf numFmtId="49" fontId="20" fillId="14" borderId="11" xfId="0" applyNumberFormat="1" applyFont="1" applyFill="1" applyBorder="1" applyAlignment="1"/>
    <xf numFmtId="4" fontId="71" fillId="0" borderId="24" xfId="0" applyNumberFormat="1" applyFont="1" applyFill="1" applyBorder="1" applyAlignment="1"/>
    <xf numFmtId="0" fontId="1" fillId="16" borderId="1" xfId="0" applyFont="1" applyFill="1" applyBorder="1" applyAlignment="1">
      <alignment wrapText="1"/>
    </xf>
    <xf numFmtId="49" fontId="18" fillId="7" borderId="34" xfId="0" applyNumberFormat="1" applyFont="1" applyFill="1" applyBorder="1" applyAlignment="1"/>
    <xf numFmtId="0" fontId="1" fillId="16" borderId="8" xfId="0" applyFont="1" applyFill="1" applyBorder="1" applyAlignment="1">
      <alignment wrapText="1"/>
    </xf>
    <xf numFmtId="4" fontId="27" fillId="16" borderId="26" xfId="0" applyNumberFormat="1" applyFont="1" applyFill="1" applyBorder="1" applyAlignment="1"/>
    <xf numFmtId="0" fontId="2" fillId="7" borderId="53" xfId="0" applyFont="1" applyFill="1" applyBorder="1" applyAlignment="1">
      <alignment wrapText="1"/>
    </xf>
    <xf numFmtId="4" fontId="27" fillId="7" borderId="35" xfId="0" applyNumberFormat="1" applyFont="1" applyFill="1" applyBorder="1" applyAlignment="1"/>
    <xf numFmtId="49" fontId="18" fillId="16" borderId="1" xfId="0" applyNumberFormat="1" applyFont="1" applyFill="1" applyBorder="1" applyAlignment="1"/>
    <xf numFmtId="4" fontId="25" fillId="16" borderId="1" xfId="0" applyNumberFormat="1" applyFont="1" applyFill="1" applyBorder="1"/>
    <xf numFmtId="4" fontId="27" fillId="16" borderId="1" xfId="4" applyNumberFormat="1" applyFont="1" applyFill="1" applyBorder="1"/>
    <xf numFmtId="0" fontId="1" fillId="16" borderId="9" xfId="0" applyFont="1" applyFill="1" applyBorder="1" applyAlignment="1">
      <alignment wrapText="1"/>
    </xf>
    <xf numFmtId="0" fontId="8" fillId="6" borderId="8" xfId="0" applyFont="1" applyFill="1" applyBorder="1" applyAlignment="1">
      <alignment wrapText="1"/>
    </xf>
    <xf numFmtId="4" fontId="75" fillId="0" borderId="0" xfId="0" applyNumberFormat="1" applyFont="1"/>
    <xf numFmtId="0" fontId="2" fillId="17" borderId="34" xfId="0" applyFont="1" applyFill="1" applyBorder="1" applyAlignment="1">
      <alignment wrapText="1"/>
    </xf>
    <xf numFmtId="49" fontId="18" fillId="17" borderId="34" xfId="0" applyNumberFormat="1" applyFont="1" applyFill="1" applyBorder="1" applyAlignment="1"/>
    <xf numFmtId="49" fontId="18" fillId="17" borderId="9" xfId="0" applyNumberFormat="1" applyFont="1" applyFill="1" applyBorder="1" applyAlignment="1"/>
    <xf numFmtId="4" fontId="18" fillId="2" borderId="41" xfId="0" applyNumberFormat="1" applyFont="1" applyFill="1" applyBorder="1"/>
    <xf numFmtId="4" fontId="18" fillId="0" borderId="17" xfId="0" applyNumberFormat="1" applyFont="1" applyBorder="1" applyAlignment="1">
      <alignment horizontal="left"/>
    </xf>
    <xf numFmtId="4" fontId="19" fillId="0" borderId="41" xfId="0" applyNumberFormat="1" applyFont="1" applyFill="1" applyBorder="1"/>
    <xf numFmtId="49" fontId="16" fillId="16" borderId="41" xfId="0" applyNumberFormat="1" applyFont="1" applyFill="1" applyBorder="1" applyAlignment="1">
      <alignment horizontal="left"/>
    </xf>
    <xf numFmtId="4" fontId="19" fillId="16" borderId="17" xfId="0" applyNumberFormat="1" applyFont="1" applyFill="1" applyBorder="1"/>
    <xf numFmtId="4" fontId="18" fillId="16" borderId="5" xfId="0" applyNumberFormat="1" applyFont="1" applyFill="1" applyBorder="1"/>
    <xf numFmtId="4" fontId="18" fillId="16" borderId="16" xfId="0" applyNumberFormat="1" applyFont="1" applyFill="1" applyBorder="1"/>
    <xf numFmtId="49" fontId="2" fillId="16" borderId="41" xfId="0" applyNumberFormat="1" applyFont="1" applyFill="1" applyBorder="1" applyAlignment="1">
      <alignment horizontal="right"/>
    </xf>
    <xf numFmtId="4" fontId="18" fillId="16" borderId="17" xfId="0" applyNumberFormat="1" applyFont="1" applyFill="1" applyBorder="1"/>
    <xf numFmtId="4" fontId="18" fillId="16" borderId="3" xfId="0" applyNumberFormat="1" applyFont="1" applyFill="1" applyBorder="1"/>
    <xf numFmtId="4" fontId="18" fillId="16" borderId="41" xfId="0" applyNumberFormat="1" applyFont="1" applyFill="1" applyBorder="1"/>
    <xf numFmtId="4" fontId="20" fillId="16" borderId="16" xfId="0" applyNumberFormat="1" applyFont="1" applyFill="1" applyBorder="1" applyAlignment="1">
      <alignment horizontal="center"/>
    </xf>
    <xf numFmtId="4" fontId="19" fillId="16" borderId="3" xfId="0" applyNumberFormat="1" applyFont="1" applyFill="1" applyBorder="1"/>
    <xf numFmtId="4" fontId="19" fillId="16" borderId="16" xfId="0" applyNumberFormat="1" applyFont="1" applyFill="1" applyBorder="1"/>
    <xf numFmtId="49" fontId="2" fillId="16" borderId="41" xfId="0" applyNumberFormat="1" applyFont="1" applyFill="1" applyBorder="1" applyAlignment="1">
      <alignment horizontal="left"/>
    </xf>
    <xf numFmtId="0" fontId="2" fillId="16" borderId="5" xfId="0" applyFont="1" applyFill="1" applyBorder="1" applyAlignment="1">
      <alignment wrapText="1"/>
    </xf>
    <xf numFmtId="4" fontId="25" fillId="16" borderId="9" xfId="0" applyNumberFormat="1" applyFont="1" applyFill="1" applyBorder="1" applyAlignment="1"/>
    <xf numFmtId="49" fontId="21" fillId="0" borderId="14" xfId="0" applyNumberFormat="1" applyFont="1" applyFill="1" applyBorder="1" applyAlignment="1">
      <alignment horizontal="left" vertical="center" wrapText="1"/>
    </xf>
    <xf numFmtId="4" fontId="21" fillId="0" borderId="9" xfId="0" applyNumberFormat="1" applyFont="1" applyFill="1" applyBorder="1" applyAlignment="1"/>
    <xf numFmtId="4" fontId="27" fillId="2" borderId="24" xfId="0" applyNumberFormat="1" applyFont="1" applyFill="1" applyBorder="1" applyAlignment="1"/>
    <xf numFmtId="0" fontId="11" fillId="0" borderId="0" xfId="0" applyFont="1"/>
    <xf numFmtId="4" fontId="27" fillId="0" borderId="19" xfId="4" applyNumberFormat="1" applyFont="1" applyBorder="1"/>
    <xf numFmtId="4" fontId="27" fillId="0" borderId="4" xfId="0" applyNumberFormat="1" applyFont="1" applyBorder="1" applyAlignment="1"/>
    <xf numFmtId="4" fontId="27" fillId="0" borderId="5" xfId="0" applyNumberFormat="1" applyFont="1" applyBorder="1" applyAlignment="1"/>
    <xf numFmtId="49" fontId="21" fillId="0" borderId="8" xfId="0" applyNumberFormat="1" applyFont="1" applyBorder="1" applyAlignment="1">
      <alignment horizontal="left" vertical="top" wrapText="1"/>
    </xf>
    <xf numFmtId="4" fontId="27" fillId="0" borderId="4" xfId="4" applyNumberFormat="1" applyFont="1" applyBorder="1"/>
    <xf numFmtId="4" fontId="27" fillId="0" borderId="5" xfId="4" applyNumberFormat="1" applyFont="1" applyBorder="1"/>
    <xf numFmtId="4" fontId="27" fillId="0" borderId="14" xfId="4" applyNumberFormat="1" applyFont="1" applyBorder="1"/>
    <xf numFmtId="49" fontId="72" fillId="0" borderId="8" xfId="0" applyNumberFormat="1" applyFont="1" applyBorder="1" applyAlignment="1"/>
    <xf numFmtId="49" fontId="8" fillId="0" borderId="54" xfId="0" applyNumberFormat="1" applyFont="1" applyBorder="1" applyAlignment="1"/>
    <xf numFmtId="4" fontId="25" fillId="4" borderId="7" xfId="0" applyNumberFormat="1" applyFont="1" applyFill="1" applyBorder="1" applyAlignment="1"/>
    <xf numFmtId="4" fontId="79" fillId="0" borderId="17" xfId="0" applyNumberFormat="1" applyFont="1" applyFill="1" applyBorder="1"/>
    <xf numFmtId="4" fontId="20" fillId="0" borderId="7" xfId="0" applyNumberFormat="1" applyFont="1" applyBorder="1" applyAlignment="1"/>
    <xf numFmtId="49" fontId="8" fillId="0" borderId="8" xfId="0" applyNumberFormat="1" applyFont="1" applyBorder="1" applyAlignment="1">
      <alignment horizontal="left" vertical="center" wrapText="1"/>
    </xf>
    <xf numFmtId="0" fontId="63" fillId="0" borderId="11" xfId="0" applyFont="1" applyBorder="1" applyAlignment="1">
      <alignment wrapText="1"/>
    </xf>
    <xf numFmtId="4" fontId="46" fillId="0" borderId="9" xfId="0" applyNumberFormat="1" applyFont="1" applyBorder="1"/>
    <xf numFmtId="4" fontId="46" fillId="9" borderId="9" xfId="0" applyNumberFormat="1" applyFont="1" applyFill="1" applyBorder="1"/>
    <xf numFmtId="0" fontId="63" fillId="0" borderId="1" xfId="0" applyFont="1" applyBorder="1" applyAlignment="1">
      <alignment wrapText="1"/>
    </xf>
    <xf numFmtId="0" fontId="76" fillId="0" borderId="7" xfId="0" applyFont="1" applyBorder="1" applyAlignment="1">
      <alignment vertical="top" wrapText="1"/>
    </xf>
    <xf numFmtId="0" fontId="76" fillId="9" borderId="7" xfId="0" applyFont="1" applyFill="1" applyBorder="1" applyAlignment="1">
      <alignment horizontal="center" wrapText="1"/>
    </xf>
    <xf numFmtId="0" fontId="77" fillId="0" borderId="10" xfId="0" applyFont="1" applyBorder="1"/>
    <xf numFmtId="49" fontId="30" fillId="0" borderId="45" xfId="0" applyNumberFormat="1" applyFont="1" applyBorder="1"/>
    <xf numFmtId="4" fontId="77" fillId="0" borderId="29" xfId="0" applyNumberFormat="1" applyFont="1" applyBorder="1"/>
    <xf numFmtId="4" fontId="77" fillId="9" borderId="29" xfId="0" applyNumberFormat="1" applyFont="1" applyFill="1" applyBorder="1"/>
    <xf numFmtId="0" fontId="0" fillId="0" borderId="4" xfId="0" applyFont="1" applyBorder="1" applyAlignment="1">
      <alignment wrapText="1"/>
    </xf>
    <xf numFmtId="49" fontId="0" fillId="0" borderId="33" xfId="0" applyNumberFormat="1" applyFont="1" applyBorder="1"/>
    <xf numFmtId="4" fontId="78" fillId="0" borderId="9" xfId="0" applyNumberFormat="1" applyFont="1" applyBorder="1"/>
    <xf numFmtId="4" fontId="76" fillId="9" borderId="9" xfId="0" applyNumberFormat="1" applyFont="1" applyFill="1" applyBorder="1"/>
    <xf numFmtId="0" fontId="0" fillId="0" borderId="5" xfId="0" applyFont="1" applyBorder="1" applyAlignment="1">
      <alignment wrapText="1"/>
    </xf>
    <xf numFmtId="49" fontId="0" fillId="0" borderId="3" xfId="0" applyNumberFormat="1" applyFont="1" applyBorder="1"/>
    <xf numFmtId="4" fontId="78" fillId="0" borderId="1" xfId="0" applyNumberFormat="1" applyFont="1" applyBorder="1"/>
    <xf numFmtId="4" fontId="76" fillId="9" borderId="1" xfId="0" applyNumberFormat="1" applyFont="1" applyFill="1" applyBorder="1"/>
    <xf numFmtId="0" fontId="0" fillId="0" borderId="5" xfId="0" applyFont="1" applyBorder="1" applyAlignment="1">
      <alignment vertical="top" wrapText="1"/>
    </xf>
    <xf numFmtId="0" fontId="0" fillId="0" borderId="5" xfId="0" applyFont="1" applyFill="1" applyBorder="1" applyAlignment="1">
      <alignment wrapText="1"/>
    </xf>
    <xf numFmtId="49" fontId="0" fillId="0" borderId="3" xfId="0" applyNumberFormat="1" applyFont="1" applyFill="1" applyBorder="1"/>
    <xf numFmtId="0" fontId="0" fillId="0" borderId="6" xfId="0" applyFont="1" applyBorder="1" applyAlignment="1">
      <alignment wrapText="1"/>
    </xf>
    <xf numFmtId="49" fontId="0" fillId="0" borderId="13" xfId="0" applyNumberFormat="1" applyFont="1" applyBorder="1"/>
    <xf numFmtId="4" fontId="78" fillId="0" borderId="7" xfId="0" applyNumberFormat="1" applyFont="1" applyBorder="1"/>
    <xf numFmtId="4" fontId="76" fillId="9" borderId="7" xfId="0" applyNumberFormat="1" applyFont="1" applyFill="1" applyBorder="1"/>
    <xf numFmtId="0" fontId="12" fillId="0" borderId="8" xfId="0" applyFont="1" applyFill="1" applyBorder="1" applyAlignment="1">
      <alignment wrapText="1"/>
    </xf>
    <xf numFmtId="4" fontId="77" fillId="0" borderId="26" xfId="0" applyNumberFormat="1" applyFont="1" applyBorder="1"/>
    <xf numFmtId="2" fontId="0" fillId="0" borderId="6" xfId="0" applyNumberFormat="1" applyFont="1" applyFill="1" applyBorder="1" applyAlignment="1">
      <alignment vertical="top" wrapText="1"/>
    </xf>
    <xf numFmtId="2" fontId="0" fillId="0" borderId="5" xfId="0" applyNumberFormat="1" applyFont="1" applyFill="1" applyBorder="1" applyAlignment="1">
      <alignment vertical="top" wrapText="1"/>
    </xf>
    <xf numFmtId="2" fontId="0" fillId="0" borderId="5" xfId="0" applyNumberFormat="1" applyFont="1" applyBorder="1" applyAlignment="1">
      <alignment vertical="top" wrapText="1"/>
    </xf>
    <xf numFmtId="49" fontId="0" fillId="0" borderId="1" xfId="0" applyNumberFormat="1" applyFont="1" applyFill="1" applyBorder="1"/>
    <xf numFmtId="4" fontId="0" fillId="22" borderId="52" xfId="0" applyNumberFormat="1" applyFill="1" applyBorder="1"/>
    <xf numFmtId="4" fontId="0" fillId="22" borderId="74" xfId="0" applyNumberFormat="1" applyFill="1" applyBorder="1"/>
    <xf numFmtId="4" fontId="0" fillId="22" borderId="30" xfId="0" applyNumberFormat="1" applyFill="1" applyBorder="1"/>
    <xf numFmtId="4" fontId="10" fillId="22" borderId="30" xfId="0" applyNumberFormat="1" applyFont="1" applyFill="1" applyBorder="1"/>
    <xf numFmtId="4" fontId="52" fillId="0" borderId="9" xfId="0" applyNumberFormat="1" applyFont="1" applyBorder="1"/>
    <xf numFmtId="4" fontId="52" fillId="9" borderId="9" xfId="0" applyNumberFormat="1" applyFont="1" applyFill="1" applyBorder="1"/>
    <xf numFmtId="0" fontId="21" fillId="0" borderId="14" xfId="0" applyFont="1" applyBorder="1" applyAlignment="1">
      <alignment wrapText="1"/>
    </xf>
    <xf numFmtId="4" fontId="27" fillId="23" borderId="9" xfId="0" applyNumberFormat="1" applyFont="1" applyFill="1" applyBorder="1" applyAlignment="1"/>
    <xf numFmtId="4" fontId="27" fillId="23" borderId="1" xfId="0" applyNumberFormat="1" applyFont="1" applyFill="1" applyBorder="1" applyAlignment="1"/>
    <xf numFmtId="4" fontId="27" fillId="23" borderId="7" xfId="0" applyNumberFormat="1" applyFont="1" applyFill="1" applyBorder="1" applyAlignment="1"/>
    <xf numFmtId="4" fontId="25" fillId="23" borderId="35" xfId="0" applyNumberFormat="1" applyFont="1" applyFill="1" applyBorder="1" applyAlignment="1"/>
    <xf numFmtId="4" fontId="20" fillId="23" borderId="9" xfId="0" applyNumberFormat="1" applyFont="1" applyFill="1" applyBorder="1" applyAlignment="1"/>
    <xf numFmtId="4" fontId="20" fillId="23" borderId="1" xfId="0" applyNumberFormat="1" applyFont="1" applyFill="1" applyBorder="1" applyAlignment="1"/>
    <xf numFmtId="4" fontId="20" fillId="23" borderId="7" xfId="0" applyNumberFormat="1" applyFont="1" applyFill="1" applyBorder="1" applyAlignment="1"/>
    <xf numFmtId="4" fontId="27" fillId="23" borderId="11" xfId="4" applyNumberFormat="1" applyFont="1" applyFill="1" applyBorder="1"/>
    <xf numFmtId="4" fontId="27" fillId="23" borderId="1" xfId="4" applyNumberFormat="1" applyFont="1" applyFill="1" applyBorder="1"/>
    <xf numFmtId="4" fontId="27" fillId="23" borderId="7" xfId="4" applyNumberFormat="1" applyFont="1" applyFill="1" applyBorder="1"/>
    <xf numFmtId="0" fontId="55" fillId="0" borderId="14" xfId="0" applyFont="1" applyBorder="1" applyAlignment="1">
      <alignment wrapText="1"/>
    </xf>
    <xf numFmtId="4" fontId="53" fillId="0" borderId="19" xfId="0" applyNumberFormat="1" applyFont="1" applyBorder="1"/>
    <xf numFmtId="0" fontId="55" fillId="0" borderId="0" xfId="0" applyFont="1" applyBorder="1" applyAlignment="1">
      <alignment wrapText="1"/>
    </xf>
    <xf numFmtId="4" fontId="27" fillId="0" borderId="0" xfId="0" applyNumberFormat="1" applyFont="1" applyBorder="1" applyAlignment="1"/>
    <xf numFmtId="4" fontId="59" fillId="0" borderId="11" xfId="0" applyNumberFormat="1" applyFont="1" applyBorder="1"/>
    <xf numFmtId="49" fontId="0" fillId="0" borderId="3" xfId="0" applyNumberFormat="1" applyFill="1" applyBorder="1"/>
    <xf numFmtId="49" fontId="0" fillId="0" borderId="3" xfId="0" applyNumberFormat="1" applyBorder="1"/>
    <xf numFmtId="49" fontId="21" fillId="24" borderId="8" xfId="0" applyNumberFormat="1" applyFont="1" applyFill="1" applyBorder="1" applyAlignment="1">
      <alignment horizontal="left" vertical="center" wrapText="1"/>
    </xf>
    <xf numFmtId="49" fontId="18" fillId="24" borderId="8" xfId="0" applyNumberFormat="1" applyFont="1" applyFill="1" applyBorder="1" applyAlignment="1"/>
    <xf numFmtId="4" fontId="25" fillId="24" borderId="29" xfId="0" applyNumberFormat="1" applyFont="1" applyFill="1" applyBorder="1"/>
    <xf numFmtId="4" fontId="27" fillId="24" borderId="29" xfId="0" applyNumberFormat="1" applyFont="1" applyFill="1" applyBorder="1" applyAlignment="1"/>
    <xf numFmtId="4" fontId="25" fillId="24" borderId="25" xfId="0" applyNumberFormat="1" applyFont="1" applyFill="1" applyBorder="1"/>
    <xf numFmtId="4" fontId="27" fillId="24" borderId="26" xfId="0" applyNumberFormat="1" applyFont="1" applyFill="1" applyBorder="1" applyAlignment="1"/>
    <xf numFmtId="4" fontId="27" fillId="2" borderId="26" xfId="4" applyNumberFormat="1" applyFont="1" applyFill="1" applyBorder="1"/>
    <xf numFmtId="49" fontId="2" fillId="0" borderId="1" xfId="0" applyNumberFormat="1" applyFont="1" applyBorder="1" applyAlignment="1">
      <alignment horizontal="left" vertical="center" wrapText="1"/>
    </xf>
    <xf numFmtId="49" fontId="21" fillId="11" borderId="8" xfId="0" applyNumberFormat="1" applyFont="1" applyFill="1" applyBorder="1" applyAlignment="1">
      <alignment horizontal="left" vertical="top" wrapText="1"/>
    </xf>
    <xf numFmtId="0" fontId="2" fillId="22" borderId="5" xfId="0" applyFont="1" applyFill="1" applyBorder="1" applyAlignment="1">
      <alignment wrapText="1"/>
    </xf>
    <xf numFmtId="0" fontId="2" fillId="22" borderId="6" xfId="0" applyFont="1" applyFill="1" applyBorder="1" applyAlignment="1">
      <alignment wrapText="1"/>
    </xf>
    <xf numFmtId="4" fontId="25" fillId="0" borderId="18" xfId="0" applyNumberFormat="1" applyFont="1" applyFill="1" applyBorder="1"/>
    <xf numFmtId="0" fontId="11" fillId="0" borderId="8" xfId="0" applyFont="1" applyBorder="1" applyAlignment="1">
      <alignment wrapText="1"/>
    </xf>
    <xf numFmtId="0" fontId="11" fillId="0" borderId="10" xfId="0" applyFont="1" applyBorder="1" applyAlignment="1">
      <alignment wrapText="1"/>
    </xf>
    <xf numFmtId="49" fontId="8" fillId="5" borderId="8" xfId="0" applyNumberFormat="1" applyFont="1" applyFill="1" applyBorder="1" applyAlignment="1">
      <alignment horizontal="left" vertical="center" wrapText="1"/>
    </xf>
    <xf numFmtId="49" fontId="11" fillId="26" borderId="75" xfId="0" applyNumberFormat="1" applyFont="1" applyFill="1" applyBorder="1" applyAlignment="1">
      <alignment horizontal="left" vertical="center" wrapText="1"/>
    </xf>
    <xf numFmtId="49" fontId="21" fillId="26" borderId="29" xfId="0" applyNumberFormat="1" applyFont="1" applyFill="1" applyBorder="1" applyAlignment="1"/>
    <xf numFmtId="4" fontId="25" fillId="26" borderId="29" xfId="0" applyNumberFormat="1" applyFont="1" applyFill="1" applyBorder="1"/>
    <xf numFmtId="4" fontId="27" fillId="26" borderId="29" xfId="0" applyNumberFormat="1" applyFont="1" applyFill="1" applyBorder="1" applyAlignment="1"/>
    <xf numFmtId="4" fontId="27" fillId="26" borderId="29" xfId="4" applyNumberFormat="1" applyFont="1" applyFill="1" applyBorder="1"/>
    <xf numFmtId="4" fontId="27" fillId="26" borderId="26" xfId="4" applyNumberFormat="1" applyFont="1" applyFill="1" applyBorder="1"/>
    <xf numFmtId="0" fontId="2" fillId="26" borderId="14" xfId="0" applyFont="1" applyFill="1" applyBorder="1" applyAlignment="1">
      <alignment wrapText="1"/>
    </xf>
    <xf numFmtId="49" fontId="18" fillId="26" borderId="11" xfId="0" applyNumberFormat="1" applyFont="1" applyFill="1" applyBorder="1" applyAlignment="1"/>
    <xf numFmtId="4" fontId="25" fillId="26" borderId="11" xfId="0" applyNumberFormat="1" applyFont="1" applyFill="1" applyBorder="1"/>
    <xf numFmtId="4" fontId="27" fillId="26" borderId="11" xfId="0" applyNumberFormat="1" applyFont="1" applyFill="1" applyBorder="1" applyAlignment="1"/>
    <xf numFmtId="4" fontId="27" fillId="26" borderId="11" xfId="4" applyNumberFormat="1" applyFont="1" applyFill="1" applyBorder="1"/>
    <xf numFmtId="49" fontId="11" fillId="27" borderId="75" xfId="0" applyNumberFormat="1" applyFont="1" applyFill="1" applyBorder="1" applyAlignment="1">
      <alignment horizontal="left" vertical="center" wrapText="1"/>
    </xf>
    <xf numFmtId="49" fontId="21" fillId="27" borderId="29" xfId="0" applyNumberFormat="1" applyFont="1" applyFill="1" applyBorder="1" applyAlignment="1"/>
    <xf numFmtId="4" fontId="25" fillId="27" borderId="29" xfId="0" applyNumberFormat="1" applyFont="1" applyFill="1" applyBorder="1"/>
    <xf numFmtId="4" fontId="27" fillId="27" borderId="29" xfId="0" applyNumberFormat="1" applyFont="1" applyFill="1" applyBorder="1" applyAlignment="1"/>
    <xf numFmtId="4" fontId="27" fillId="27" borderId="29" xfId="4" applyNumberFormat="1" applyFont="1" applyFill="1" applyBorder="1"/>
    <xf numFmtId="4" fontId="27" fillId="27" borderId="26" xfId="4" applyNumberFormat="1" applyFont="1" applyFill="1" applyBorder="1"/>
    <xf numFmtId="49" fontId="18" fillId="27" borderId="11" xfId="0" applyNumberFormat="1" applyFont="1" applyFill="1" applyBorder="1" applyAlignment="1"/>
    <xf numFmtId="4" fontId="25" fillId="27" borderId="11" xfId="0" applyNumberFormat="1" applyFont="1" applyFill="1" applyBorder="1"/>
    <xf numFmtId="4" fontId="27" fillId="27" borderId="11" xfId="0" applyNumberFormat="1" applyFont="1" applyFill="1" applyBorder="1" applyAlignment="1"/>
    <xf numFmtId="4" fontId="27" fillId="27" borderId="11" xfId="4" applyNumberFormat="1" applyFont="1" applyFill="1" applyBorder="1"/>
    <xf numFmtId="0" fontId="2" fillId="27" borderId="11" xfId="0" applyFont="1" applyFill="1" applyBorder="1" applyAlignment="1">
      <alignment wrapText="1"/>
    </xf>
    <xf numFmtId="0" fontId="2" fillId="28" borderId="8" xfId="0" applyFont="1" applyFill="1" applyBorder="1" applyAlignment="1">
      <alignment wrapText="1"/>
    </xf>
    <xf numFmtId="4" fontId="25" fillId="28" borderId="29" xfId="0" applyNumberFormat="1" applyFont="1" applyFill="1" applyBorder="1"/>
    <xf numFmtId="4" fontId="27" fillId="28" borderId="29" xfId="0" applyNumberFormat="1" applyFont="1" applyFill="1" applyBorder="1" applyAlignment="1"/>
    <xf numFmtId="4" fontId="27" fillId="28" borderId="29" xfId="4" applyNumberFormat="1" applyFont="1" applyFill="1" applyBorder="1"/>
    <xf numFmtId="0" fontId="2" fillId="28" borderId="4" xfId="0" applyFont="1" applyFill="1" applyBorder="1" applyAlignment="1">
      <alignment wrapText="1"/>
    </xf>
    <xf numFmtId="49" fontId="18" fillId="28" borderId="9" xfId="0" applyNumberFormat="1" applyFont="1" applyFill="1" applyBorder="1" applyAlignment="1"/>
    <xf numFmtId="0" fontId="2" fillId="29" borderId="8" xfId="0" applyFont="1" applyFill="1" applyBorder="1" applyAlignment="1">
      <alignment wrapText="1"/>
    </xf>
    <xf numFmtId="49" fontId="21" fillId="29" borderId="29" xfId="0" applyNumberFormat="1" applyFont="1" applyFill="1" applyBorder="1" applyAlignment="1"/>
    <xf numFmtId="4" fontId="25" fillId="29" borderId="29" xfId="0" applyNumberFormat="1" applyFont="1" applyFill="1" applyBorder="1"/>
    <xf numFmtId="4" fontId="27" fillId="29" borderId="29" xfId="0" applyNumberFormat="1" applyFont="1" applyFill="1" applyBorder="1" applyAlignment="1"/>
    <xf numFmtId="4" fontId="27" fillId="29" borderId="29" xfId="4" applyNumberFormat="1" applyFont="1" applyFill="1" applyBorder="1"/>
    <xf numFmtId="4" fontId="27" fillId="29" borderId="26" xfId="4" applyNumberFormat="1" applyFont="1" applyFill="1" applyBorder="1"/>
    <xf numFmtId="0" fontId="2" fillId="29" borderId="4" xfId="0" applyFont="1" applyFill="1" applyBorder="1" applyAlignment="1">
      <alignment wrapText="1"/>
    </xf>
    <xf numFmtId="49" fontId="18" fillId="29" borderId="9" xfId="0" applyNumberFormat="1" applyFont="1" applyFill="1" applyBorder="1" applyAlignment="1"/>
    <xf numFmtId="4" fontId="25" fillId="29" borderId="9" xfId="0" applyNumberFormat="1" applyFont="1" applyFill="1" applyBorder="1"/>
    <xf numFmtId="4" fontId="27" fillId="29" borderId="9" xfId="0" applyNumberFormat="1" applyFont="1" applyFill="1" applyBorder="1" applyAlignment="1"/>
    <xf numFmtId="4" fontId="27" fillId="29" borderId="9" xfId="4" applyNumberFormat="1" applyFont="1" applyFill="1" applyBorder="1"/>
    <xf numFmtId="0" fontId="2" fillId="29" borderId="7" xfId="0" applyFont="1" applyFill="1" applyBorder="1" applyAlignment="1">
      <alignment wrapText="1"/>
    </xf>
    <xf numFmtId="49" fontId="18" fillId="29" borderId="7" xfId="0" applyNumberFormat="1" applyFont="1" applyFill="1" applyBorder="1" applyAlignment="1"/>
    <xf numFmtId="4" fontId="25" fillId="29" borderId="7" xfId="0" applyNumberFormat="1" applyFont="1" applyFill="1" applyBorder="1"/>
    <xf numFmtId="4" fontId="27" fillId="29" borderId="7" xfId="0" applyNumberFormat="1" applyFont="1" applyFill="1" applyBorder="1" applyAlignment="1"/>
    <xf numFmtId="4" fontId="27" fillId="29" borderId="7" xfId="4" applyNumberFormat="1" applyFont="1" applyFill="1" applyBorder="1"/>
    <xf numFmtId="0" fontId="2" fillId="30" borderId="8" xfId="0" applyFont="1" applyFill="1" applyBorder="1" applyAlignment="1">
      <alignment wrapText="1"/>
    </xf>
    <xf numFmtId="0" fontId="2" fillId="30" borderId="4" xfId="0" applyFont="1" applyFill="1" applyBorder="1" applyAlignment="1">
      <alignment wrapText="1"/>
    </xf>
    <xf numFmtId="49" fontId="18" fillId="30" borderId="9" xfId="0" applyNumberFormat="1" applyFont="1" applyFill="1" applyBorder="1" applyAlignment="1"/>
    <xf numFmtId="0" fontId="2" fillId="30" borderId="5" xfId="0" applyFont="1" applyFill="1" applyBorder="1" applyAlignment="1">
      <alignment wrapText="1"/>
    </xf>
    <xf numFmtId="49" fontId="18" fillId="30" borderId="1" xfId="0" applyNumberFormat="1" applyFont="1" applyFill="1" applyBorder="1" applyAlignment="1"/>
    <xf numFmtId="49" fontId="8" fillId="30" borderId="29" xfId="0" applyNumberFormat="1" applyFont="1" applyFill="1" applyBorder="1" applyAlignment="1"/>
    <xf numFmtId="4" fontId="29" fillId="30" borderId="29" xfId="0" applyNumberFormat="1" applyFont="1" applyFill="1" applyBorder="1"/>
    <xf numFmtId="4" fontId="36" fillId="30" borderId="29" xfId="0" applyNumberFormat="1" applyFont="1" applyFill="1" applyBorder="1" applyAlignment="1"/>
    <xf numFmtId="4" fontId="29" fillId="30" borderId="9" xfId="0" applyNumberFormat="1" applyFont="1" applyFill="1" applyBorder="1"/>
    <xf numFmtId="4" fontId="36" fillId="30" borderId="9" xfId="0" applyNumberFormat="1" applyFont="1" applyFill="1" applyBorder="1" applyAlignment="1"/>
    <xf numFmtId="4" fontId="36" fillId="30" borderId="9" xfId="4" applyNumberFormat="1" applyFont="1" applyFill="1" applyBorder="1"/>
    <xf numFmtId="4" fontId="29" fillId="30" borderId="1" xfId="0" applyNumberFormat="1" applyFont="1" applyFill="1" applyBorder="1"/>
    <xf numFmtId="4" fontId="36" fillId="30" borderId="1" xfId="0" applyNumberFormat="1" applyFont="1" applyFill="1" applyBorder="1" applyAlignment="1"/>
    <xf numFmtId="4" fontId="36" fillId="30" borderId="1" xfId="4" applyNumberFormat="1" applyFont="1" applyFill="1" applyBorder="1"/>
    <xf numFmtId="4" fontId="36" fillId="30" borderId="26" xfId="0" applyNumberFormat="1" applyFont="1" applyFill="1" applyBorder="1" applyAlignment="1"/>
    <xf numFmtId="49" fontId="21" fillId="0" borderId="75" xfId="0" applyNumberFormat="1" applyFont="1" applyBorder="1" applyAlignment="1">
      <alignment horizontal="left" vertical="center" wrapText="1"/>
    </xf>
    <xf numFmtId="49" fontId="18" fillId="29" borderId="29" xfId="0" applyNumberFormat="1" applyFont="1" applyFill="1" applyBorder="1" applyAlignment="1"/>
    <xf numFmtId="4" fontId="25" fillId="29" borderId="18" xfId="0" applyNumberFormat="1" applyFont="1" applyFill="1" applyBorder="1"/>
    <xf numFmtId="4" fontId="27" fillId="29" borderId="26" xfId="0" applyNumberFormat="1" applyFont="1" applyFill="1" applyBorder="1" applyAlignment="1"/>
    <xf numFmtId="49" fontId="18" fillId="29" borderId="11" xfId="0" applyNumberFormat="1" applyFont="1" applyFill="1" applyBorder="1" applyAlignment="1"/>
    <xf numFmtId="4" fontId="25" fillId="29" borderId="11" xfId="0" applyNumberFormat="1" applyFont="1" applyFill="1" applyBorder="1"/>
    <xf numFmtId="4" fontId="27" fillId="29" borderId="11" xfId="0" applyNumberFormat="1" applyFont="1" applyFill="1" applyBorder="1" applyAlignment="1"/>
    <xf numFmtId="4" fontId="27" fillId="29" borderId="11" xfId="4" applyNumberFormat="1" applyFont="1" applyFill="1" applyBorder="1"/>
    <xf numFmtId="0" fontId="2" fillId="29" borderId="5" xfId="0" applyFont="1" applyFill="1" applyBorder="1" applyAlignment="1">
      <alignment wrapText="1"/>
    </xf>
    <xf numFmtId="4" fontId="25" fillId="29" borderId="1" xfId="0" applyNumberFormat="1" applyFont="1" applyFill="1" applyBorder="1"/>
    <xf numFmtId="4" fontId="27" fillId="29" borderId="1" xfId="0" applyNumberFormat="1" applyFont="1" applyFill="1" applyBorder="1" applyAlignment="1"/>
    <xf numFmtId="4" fontId="27" fillId="29" borderId="1" xfId="4" applyNumberFormat="1" applyFont="1" applyFill="1" applyBorder="1"/>
    <xf numFmtId="49" fontId="18" fillId="28" borderId="29" xfId="0" applyNumberFormat="1" applyFont="1" applyFill="1" applyBorder="1" applyAlignment="1"/>
    <xf numFmtId="4" fontId="27" fillId="28" borderId="26" xfId="0" applyNumberFormat="1" applyFont="1" applyFill="1" applyBorder="1" applyAlignment="1"/>
    <xf numFmtId="4" fontId="25" fillId="28" borderId="14" xfId="0" applyNumberFormat="1" applyFont="1" applyFill="1" applyBorder="1"/>
    <xf numFmtId="4" fontId="27" fillId="28" borderId="11" xfId="0" applyNumberFormat="1" applyFont="1" applyFill="1" applyBorder="1" applyAlignment="1"/>
    <xf numFmtId="4" fontId="25" fillId="28" borderId="11" xfId="0" applyNumberFormat="1" applyFont="1" applyFill="1" applyBorder="1"/>
    <xf numFmtId="4" fontId="27" fillId="28" borderId="11" xfId="4" applyNumberFormat="1" applyFont="1" applyFill="1" applyBorder="1"/>
    <xf numFmtId="4" fontId="25" fillId="2" borderId="30" xfId="0" applyNumberFormat="1" applyFont="1" applyFill="1" applyBorder="1" applyAlignment="1"/>
    <xf numFmtId="0" fontId="2" fillId="31" borderId="4" xfId="0" applyFont="1" applyFill="1" applyBorder="1" applyAlignment="1">
      <alignment wrapText="1"/>
    </xf>
    <xf numFmtId="4" fontId="25" fillId="31" borderId="1" xfId="0" applyNumberFormat="1" applyFont="1" applyFill="1" applyBorder="1"/>
    <xf numFmtId="4" fontId="27" fillId="31" borderId="1" xfId="0" applyNumberFormat="1" applyFont="1" applyFill="1" applyBorder="1" applyAlignment="1"/>
    <xf numFmtId="4" fontId="27" fillId="31" borderId="1" xfId="4" applyNumberFormat="1" applyFont="1" applyFill="1" applyBorder="1"/>
    <xf numFmtId="0" fontId="2" fillId="31" borderId="8" xfId="0" applyFont="1" applyFill="1" applyBorder="1" applyAlignment="1">
      <alignment wrapText="1"/>
    </xf>
    <xf numFmtId="49" fontId="21" fillId="31" borderId="29" xfId="0" applyNumberFormat="1" applyFont="1" applyFill="1" applyBorder="1" applyAlignment="1"/>
    <xf numFmtId="4" fontId="25" fillId="31" borderId="25" xfId="0" applyNumberFormat="1" applyFont="1" applyFill="1" applyBorder="1"/>
    <xf numFmtId="4" fontId="27" fillId="31" borderId="29" xfId="4" applyNumberFormat="1" applyFont="1" applyFill="1" applyBorder="1"/>
    <xf numFmtId="4" fontId="27" fillId="31" borderId="29" xfId="0" applyNumberFormat="1" applyFont="1" applyFill="1" applyBorder="1" applyAlignment="1"/>
    <xf numFmtId="4" fontId="27" fillId="31" borderId="30" xfId="0" applyNumberFormat="1" applyFont="1" applyFill="1" applyBorder="1" applyAlignment="1"/>
    <xf numFmtId="49" fontId="20" fillId="31" borderId="11" xfId="0" applyNumberFormat="1" applyFont="1" applyFill="1" applyBorder="1" applyAlignment="1"/>
    <xf numFmtId="4" fontId="25" fillId="31" borderId="0" xfId="0" applyNumberFormat="1" applyFont="1" applyFill="1" applyBorder="1"/>
    <xf numFmtId="4" fontId="27" fillId="31" borderId="11" xfId="4" applyNumberFormat="1" applyFont="1" applyFill="1" applyBorder="1"/>
    <xf numFmtId="4" fontId="27" fillId="31" borderId="11" xfId="0" applyNumberFormat="1" applyFont="1" applyFill="1" applyBorder="1" applyAlignment="1"/>
    <xf numFmtId="4" fontId="27" fillId="31" borderId="0" xfId="0" applyNumberFormat="1" applyFont="1" applyFill="1" applyBorder="1" applyAlignment="1"/>
    <xf numFmtId="0" fontId="2" fillId="31" borderId="5" xfId="0" applyFont="1" applyFill="1" applyBorder="1" applyAlignment="1">
      <alignment wrapText="1"/>
    </xf>
    <xf numFmtId="49" fontId="20" fillId="31" borderId="7" xfId="0" applyNumberFormat="1" applyFont="1" applyFill="1" applyBorder="1" applyAlignment="1"/>
    <xf numFmtId="0" fontId="2" fillId="7" borderId="10" xfId="0" applyFont="1" applyFill="1" applyBorder="1" applyAlignment="1">
      <alignment wrapText="1"/>
    </xf>
    <xf numFmtId="49" fontId="20" fillId="7" borderId="29" xfId="0" applyNumberFormat="1" applyFont="1" applyFill="1" applyBorder="1" applyAlignment="1"/>
    <xf numFmtId="4" fontId="25" fillId="7" borderId="18" xfId="0" applyNumberFormat="1" applyFont="1" applyFill="1" applyBorder="1"/>
    <xf numFmtId="2" fontId="0" fillId="0" borderId="5" xfId="0" applyNumberFormat="1" applyFill="1" applyBorder="1" applyAlignment="1">
      <alignment wrapText="1"/>
    </xf>
    <xf numFmtId="0" fontId="0" fillId="25" borderId="1" xfId="0" applyFill="1" applyBorder="1"/>
    <xf numFmtId="4" fontId="0" fillId="25" borderId="1" xfId="0" applyNumberFormat="1" applyFill="1" applyBorder="1"/>
    <xf numFmtId="4" fontId="18" fillId="22" borderId="17" xfId="0" applyNumberFormat="1" applyFont="1" applyFill="1" applyBorder="1"/>
    <xf numFmtId="4" fontId="2" fillId="5" borderId="13" xfId="0" applyNumberFormat="1" applyFont="1" applyFill="1" applyBorder="1" applyAlignment="1">
      <alignment wrapText="1"/>
    </xf>
    <xf numFmtId="4" fontId="20" fillId="5" borderId="44" xfId="0" applyNumberFormat="1" applyFont="1" applyFill="1" applyBorder="1" applyAlignment="1">
      <alignment horizontal="center"/>
    </xf>
    <xf numFmtId="4" fontId="20" fillId="5" borderId="13" xfId="0" applyNumberFormat="1" applyFont="1" applyFill="1" applyBorder="1" applyAlignment="1">
      <alignment horizontal="center"/>
    </xf>
    <xf numFmtId="4" fontId="20" fillId="5" borderId="32" xfId="0" applyNumberFormat="1" applyFont="1" applyFill="1" applyBorder="1" applyAlignment="1">
      <alignment horizontal="center"/>
    </xf>
    <xf numFmtId="4" fontId="18" fillId="5" borderId="6" xfId="0" applyNumberFormat="1" applyFont="1" applyFill="1" applyBorder="1" applyAlignment="1">
      <alignment horizontal="center"/>
    </xf>
    <xf numFmtId="4" fontId="64" fillId="0" borderId="12" xfId="0" applyNumberFormat="1" applyFont="1" applyFill="1" applyBorder="1" applyAlignment="1">
      <alignment horizontal="center"/>
    </xf>
    <xf numFmtId="4" fontId="64" fillId="0" borderId="33" xfId="0" applyNumberFormat="1" applyFont="1" applyFill="1" applyBorder="1" applyAlignment="1">
      <alignment horizontal="center"/>
    </xf>
    <xf numFmtId="4" fontId="64" fillId="0" borderId="31" xfId="0" applyNumberFormat="1" applyFont="1" applyFill="1" applyBorder="1" applyAlignment="1">
      <alignment horizontal="center"/>
    </xf>
    <xf numFmtId="4" fontId="64" fillId="0" borderId="4" xfId="0" applyNumberFormat="1" applyFont="1" applyFill="1" applyBorder="1" applyAlignment="1">
      <alignment horizontal="center"/>
    </xf>
    <xf numFmtId="4" fontId="11" fillId="5" borderId="10" xfId="0" applyNumberFormat="1" applyFont="1" applyFill="1" applyBorder="1"/>
    <xf numFmtId="4" fontId="21" fillId="5" borderId="8" xfId="0" applyNumberFormat="1" applyFont="1" applyFill="1" applyBorder="1" applyAlignment="1">
      <alignment horizontal="center"/>
    </xf>
    <xf numFmtId="4" fontId="21" fillId="5" borderId="45" xfId="0" applyNumberFormat="1" applyFont="1" applyFill="1" applyBorder="1" applyAlignment="1">
      <alignment horizontal="center"/>
    </xf>
    <xf numFmtId="4" fontId="21" fillId="5" borderId="26" xfId="0" applyNumberFormat="1" applyFont="1" applyFill="1" applyBorder="1" applyAlignment="1">
      <alignment horizontal="center"/>
    </xf>
    <xf numFmtId="4" fontId="21" fillId="5" borderId="18" xfId="0" applyNumberFormat="1" applyFont="1" applyFill="1" applyBorder="1" applyAlignment="1">
      <alignment horizontal="center"/>
    </xf>
    <xf numFmtId="0" fontId="80" fillId="0" borderId="0" xfId="0" applyFont="1"/>
    <xf numFmtId="0" fontId="56" fillId="0" borderId="0" xfId="0" applyFont="1" applyAlignment="1">
      <alignment horizontal="left"/>
    </xf>
    <xf numFmtId="4" fontId="47" fillId="0" borderId="19" xfId="0" applyNumberFormat="1" applyFont="1" applyBorder="1"/>
    <xf numFmtId="0" fontId="0" fillId="25" borderId="0" xfId="0" applyFill="1"/>
    <xf numFmtId="49" fontId="83" fillId="32" borderId="77" xfId="9" applyNumberFormat="1" applyProtection="1">
      <alignment horizontal="center" vertical="center" wrapText="1"/>
    </xf>
    <xf numFmtId="49" fontId="84" fillId="33" borderId="77" xfId="11" applyNumberFormat="1" applyProtection="1">
      <alignment horizontal="left" vertical="center" wrapText="1"/>
    </xf>
    <xf numFmtId="49" fontId="83" fillId="34" borderId="77" xfId="13" applyNumberFormat="1" applyProtection="1">
      <alignment horizontal="left" vertical="center" wrapText="1"/>
    </xf>
    <xf numFmtId="49" fontId="83" fillId="35" borderId="77" xfId="15" applyNumberFormat="1" applyProtection="1">
      <alignment horizontal="left" vertical="center" wrapText="1"/>
    </xf>
    <xf numFmtId="49" fontId="83" fillId="0" borderId="77" xfId="17" applyNumberFormat="1" applyProtection="1">
      <alignment horizontal="left" vertical="center" wrapText="1"/>
    </xf>
    <xf numFmtId="49" fontId="85" fillId="0" borderId="77" xfId="19" applyNumberFormat="1" applyProtection="1">
      <alignment horizontal="left" vertical="center" wrapText="1"/>
    </xf>
    <xf numFmtId="49" fontId="86" fillId="0" borderId="77" xfId="25" applyNumberFormat="1" applyProtection="1">
      <alignment horizontal="left" vertical="center" wrapText="1"/>
    </xf>
    <xf numFmtId="0" fontId="83" fillId="32" borderId="78" xfId="10" applyNumberFormat="1" applyBorder="1" applyProtection="1">
      <alignment horizontal="center" vertical="center" wrapText="1"/>
    </xf>
    <xf numFmtId="164" fontId="84" fillId="33" borderId="78" xfId="12" applyNumberFormat="1" applyBorder="1" applyProtection="1">
      <alignment horizontal="left" vertical="center" wrapText="1"/>
    </xf>
    <xf numFmtId="164" fontId="83" fillId="34" borderId="78" xfId="14" applyNumberFormat="1" applyBorder="1" applyProtection="1">
      <alignment horizontal="left" vertical="center" wrapText="1"/>
    </xf>
    <xf numFmtId="164" fontId="83" fillId="0" borderId="78" xfId="18" applyNumberFormat="1" applyBorder="1" applyProtection="1">
      <alignment horizontal="left" vertical="center" wrapText="1"/>
    </xf>
    <xf numFmtId="164" fontId="85" fillId="0" borderId="78" xfId="20" applyNumberFormat="1" applyBorder="1" applyProtection="1">
      <alignment horizontal="left" vertical="center" wrapText="1"/>
    </xf>
    <xf numFmtId="0" fontId="83" fillId="0" borderId="78" xfId="23" applyNumberFormat="1" applyBorder="1" applyProtection="1">
      <alignment vertical="center" wrapText="1"/>
    </xf>
    <xf numFmtId="0" fontId="0" fillId="0" borderId="1" xfId="0" applyBorder="1" applyAlignment="1">
      <alignment horizontal="center"/>
    </xf>
    <xf numFmtId="0" fontId="0" fillId="38" borderId="1" xfId="0" applyFill="1" applyBorder="1"/>
    <xf numFmtId="49" fontId="83" fillId="41" borderId="77" xfId="15" applyNumberFormat="1" applyFill="1" applyProtection="1">
      <alignment horizontal="left" vertical="center" wrapText="1"/>
    </xf>
    <xf numFmtId="164" fontId="83" fillId="41" borderId="78" xfId="16" applyNumberFormat="1" applyFill="1" applyBorder="1" applyProtection="1">
      <alignment horizontal="left" vertical="center" wrapText="1"/>
    </xf>
    <xf numFmtId="49" fontId="83" fillId="40" borderId="77" xfId="13" applyNumberFormat="1" applyFill="1" applyProtection="1">
      <alignment horizontal="left" vertical="center" wrapText="1"/>
    </xf>
    <xf numFmtId="164" fontId="83" fillId="40" borderId="78" xfId="14" applyNumberFormat="1" applyFill="1" applyBorder="1" applyProtection="1">
      <alignment horizontal="left" vertical="center" wrapText="1"/>
    </xf>
    <xf numFmtId="164" fontId="83" fillId="27" borderId="78" xfId="16" applyNumberFormat="1" applyFill="1" applyBorder="1" applyProtection="1">
      <alignment horizontal="left" vertical="center" wrapText="1"/>
    </xf>
    <xf numFmtId="49" fontId="83" fillId="27" borderId="77" xfId="15" applyNumberFormat="1" applyFill="1" applyProtection="1">
      <alignment horizontal="left" vertical="center" wrapText="1"/>
    </xf>
    <xf numFmtId="164" fontId="84" fillId="37" borderId="78" xfId="12" applyNumberFormat="1" applyFill="1" applyBorder="1" applyProtection="1">
      <alignment horizontal="left" vertical="center" wrapText="1"/>
    </xf>
    <xf numFmtId="164" fontId="84" fillId="38" borderId="78" xfId="12" applyNumberFormat="1" applyFill="1" applyBorder="1" applyProtection="1">
      <alignment horizontal="left" vertical="center" wrapText="1"/>
    </xf>
    <xf numFmtId="49" fontId="83" fillId="38" borderId="77" xfId="21" applyNumberFormat="1" applyFill="1" applyProtection="1">
      <alignment horizontal="left" vertical="center" wrapText="1"/>
    </xf>
    <xf numFmtId="0" fontId="83" fillId="38" borderId="78" xfId="22" applyNumberFormat="1" applyFill="1" applyBorder="1" applyProtection="1">
      <alignment vertical="center" wrapText="1"/>
    </xf>
    <xf numFmtId="49" fontId="85" fillId="38" borderId="77" xfId="19" applyNumberFormat="1" applyFill="1" applyProtection="1">
      <alignment horizontal="left" vertical="center" wrapText="1"/>
    </xf>
    <xf numFmtId="0" fontId="83" fillId="38" borderId="78" xfId="23" applyNumberFormat="1" applyFill="1" applyBorder="1" applyProtection="1">
      <alignment vertical="center" wrapText="1"/>
    </xf>
    <xf numFmtId="164" fontId="83" fillId="38" borderId="78" xfId="24" applyNumberFormat="1" applyFill="1" applyBorder="1" applyProtection="1">
      <alignment horizontal="left" vertical="center" wrapText="1"/>
    </xf>
    <xf numFmtId="49" fontId="83" fillId="39" borderId="77" xfId="13" applyNumberFormat="1" applyFill="1" applyProtection="1">
      <alignment horizontal="left" vertical="center" wrapText="1"/>
    </xf>
    <xf numFmtId="164" fontId="83" fillId="39" borderId="78" xfId="14" applyNumberFormat="1" applyFill="1" applyBorder="1" applyProtection="1">
      <alignment horizontal="left" vertical="center" wrapText="1"/>
    </xf>
    <xf numFmtId="49" fontId="84" fillId="38" borderId="77" xfId="11" applyNumberFormat="1" applyFill="1" applyProtection="1">
      <alignment horizontal="left" vertical="center" wrapText="1"/>
    </xf>
    <xf numFmtId="49" fontId="83" fillId="38" borderId="77" xfId="26" applyNumberFormat="1" applyFill="1" applyProtection="1">
      <alignment horizontal="left" vertical="center" wrapText="1"/>
    </xf>
    <xf numFmtId="164" fontId="83" fillId="38" borderId="78" xfId="27" applyNumberFormat="1" applyFill="1" applyBorder="1" applyProtection="1">
      <alignment horizontal="left" vertical="center" wrapText="1"/>
    </xf>
    <xf numFmtId="3" fontId="0" fillId="0" borderId="1" xfId="0" applyNumberFormat="1" applyBorder="1" applyAlignment="1">
      <alignment horizontal="center"/>
    </xf>
    <xf numFmtId="49" fontId="87" fillId="32" borderId="77" xfId="9" applyNumberFormat="1" applyFont="1" applyProtection="1">
      <alignment horizontal="center" vertical="center" wrapText="1"/>
    </xf>
    <xf numFmtId="0" fontId="87" fillId="32" borderId="78" xfId="10" applyNumberFormat="1" applyFont="1" applyBorder="1" applyProtection="1">
      <alignment horizontal="center" vertical="center" wrapText="1"/>
    </xf>
    <xf numFmtId="0" fontId="30" fillId="0" borderId="1" xfId="0" applyFont="1" applyBorder="1" applyAlignment="1">
      <alignment horizontal="center"/>
    </xf>
    <xf numFmtId="0" fontId="0" fillId="40" borderId="1" xfId="0" applyFill="1" applyBorder="1" applyAlignment="1">
      <alignment horizontal="center"/>
    </xf>
    <xf numFmtId="3" fontId="11" fillId="27" borderId="1" xfId="0" applyNumberFormat="1" applyFont="1" applyFill="1" applyBorder="1" applyAlignment="1">
      <alignment horizontal="center"/>
    </xf>
    <xf numFmtId="3" fontId="1" fillId="0" borderId="1" xfId="0" applyNumberFormat="1" applyFont="1" applyBorder="1" applyAlignment="1">
      <alignment horizontal="center"/>
    </xf>
    <xf numFmtId="3" fontId="1" fillId="27" borderId="1" xfId="0" applyNumberFormat="1" applyFont="1" applyFill="1" applyBorder="1" applyAlignment="1">
      <alignment horizontal="center"/>
    </xf>
    <xf numFmtId="3" fontId="11" fillId="37" borderId="1" xfId="0" applyNumberFormat="1" applyFont="1" applyFill="1" applyBorder="1" applyAlignment="1">
      <alignment horizontal="center"/>
    </xf>
    <xf numFmtId="3" fontId="11" fillId="40" borderId="1" xfId="0" applyNumberFormat="1" applyFont="1" applyFill="1" applyBorder="1" applyAlignment="1">
      <alignment horizontal="center"/>
    </xf>
    <xf numFmtId="3" fontId="1" fillId="38" borderId="1" xfId="0" applyNumberFormat="1" applyFont="1" applyFill="1" applyBorder="1" applyAlignment="1">
      <alignment horizontal="center"/>
    </xf>
    <xf numFmtId="3" fontId="43" fillId="38" borderId="1" xfId="0" applyNumberFormat="1" applyFont="1" applyFill="1" applyBorder="1" applyAlignment="1">
      <alignment horizontal="center"/>
    </xf>
    <xf numFmtId="3" fontId="43" fillId="40" borderId="1" xfId="0" applyNumberFormat="1" applyFont="1" applyFill="1" applyBorder="1" applyAlignment="1">
      <alignment horizontal="center"/>
    </xf>
    <xf numFmtId="3" fontId="43" fillId="41" borderId="1" xfId="0" applyNumberFormat="1" applyFont="1" applyFill="1" applyBorder="1" applyAlignment="1">
      <alignment horizontal="center"/>
    </xf>
    <xf numFmtId="3" fontId="44" fillId="0" borderId="1" xfId="0" applyNumberFormat="1" applyFont="1" applyBorder="1" applyAlignment="1">
      <alignment horizontal="center"/>
    </xf>
    <xf numFmtId="3" fontId="43" fillId="27" borderId="1" xfId="0" applyNumberFormat="1" applyFont="1" applyFill="1" applyBorder="1" applyAlignment="1">
      <alignment horizontal="center"/>
    </xf>
    <xf numFmtId="3" fontId="43" fillId="39" borderId="1" xfId="0" applyNumberFormat="1" applyFont="1" applyFill="1" applyBorder="1" applyAlignment="1">
      <alignment horizontal="center"/>
    </xf>
    <xf numFmtId="3" fontId="44" fillId="38" borderId="1" xfId="0" applyNumberFormat="1" applyFont="1" applyFill="1" applyBorder="1" applyAlignment="1">
      <alignment horizontal="center"/>
    </xf>
    <xf numFmtId="3" fontId="44" fillId="0" borderId="1" xfId="0" applyNumberFormat="1" applyFont="1" applyFill="1" applyBorder="1" applyAlignment="1">
      <alignment horizontal="center"/>
    </xf>
    <xf numFmtId="3" fontId="5" fillId="0" borderId="1" xfId="0" applyNumberFormat="1" applyFont="1" applyBorder="1" applyAlignment="1">
      <alignment horizontal="center"/>
    </xf>
    <xf numFmtId="3" fontId="58" fillId="38" borderId="1" xfId="0" applyNumberFormat="1" applyFont="1" applyFill="1" applyBorder="1" applyAlignment="1">
      <alignment horizontal="center"/>
    </xf>
    <xf numFmtId="3" fontId="5" fillId="40" borderId="1" xfId="0" applyNumberFormat="1" applyFont="1" applyFill="1" applyBorder="1" applyAlignment="1">
      <alignment horizontal="center"/>
    </xf>
    <xf numFmtId="0" fontId="5" fillId="0" borderId="1" xfId="0" applyFont="1" applyBorder="1" applyAlignment="1">
      <alignment horizontal="center"/>
    </xf>
    <xf numFmtId="0" fontId="5" fillId="40" borderId="1" xfId="0" applyFont="1" applyFill="1" applyBorder="1" applyAlignment="1">
      <alignment horizontal="center"/>
    </xf>
    <xf numFmtId="0" fontId="44" fillId="0" borderId="1" xfId="0" applyFont="1" applyBorder="1"/>
    <xf numFmtId="0" fontId="0" fillId="24" borderId="0" xfId="0" applyFont="1" applyFill="1"/>
    <xf numFmtId="4" fontId="27" fillId="25" borderId="1" xfId="3" applyNumberFormat="1" applyFont="1" applyFill="1" applyBorder="1" applyAlignment="1"/>
    <xf numFmtId="4" fontId="12" fillId="0" borderId="0" xfId="0" applyNumberFormat="1" applyFont="1"/>
    <xf numFmtId="0" fontId="65" fillId="25" borderId="0" xfId="0" applyFont="1" applyFill="1"/>
    <xf numFmtId="164" fontId="83" fillId="0" borderId="0" xfId="18" applyNumberFormat="1" applyBorder="1" applyProtection="1">
      <alignment horizontal="left" vertical="center" wrapText="1"/>
    </xf>
    <xf numFmtId="164" fontId="83" fillId="0" borderId="1" xfId="18" applyNumberFormat="1" applyBorder="1" applyProtection="1">
      <alignment horizontal="left" vertical="center" wrapText="1"/>
    </xf>
    <xf numFmtId="164" fontId="85" fillId="0" borderId="1" xfId="20" applyNumberFormat="1" applyBorder="1" applyProtection="1">
      <alignment horizontal="left" vertical="center" wrapText="1"/>
    </xf>
    <xf numFmtId="0" fontId="83" fillId="32" borderId="1" xfId="10" applyNumberFormat="1" applyBorder="1" applyProtection="1">
      <alignment horizontal="center" vertical="center" wrapText="1"/>
    </xf>
    <xf numFmtId="164" fontId="83" fillId="27" borderId="1" xfId="16" applyNumberFormat="1" applyFill="1" applyBorder="1" applyProtection="1">
      <alignment horizontal="left" vertical="center" wrapText="1"/>
    </xf>
    <xf numFmtId="0" fontId="83" fillId="0" borderId="1" xfId="23" applyNumberFormat="1" applyBorder="1" applyProtection="1">
      <alignment vertical="center" wrapText="1"/>
    </xf>
    <xf numFmtId="164" fontId="83" fillId="38" borderId="1" xfId="24" applyNumberFormat="1" applyFill="1" applyBorder="1" applyProtection="1">
      <alignment horizontal="left" vertical="center" wrapText="1"/>
    </xf>
    <xf numFmtId="0" fontId="83" fillId="38" borderId="1" xfId="22" applyNumberFormat="1" applyFill="1" applyBorder="1" applyProtection="1">
      <alignment vertical="center" wrapText="1"/>
    </xf>
    <xf numFmtId="164" fontId="83" fillId="40" borderId="1" xfId="14" applyNumberFormat="1" applyFill="1" applyBorder="1" applyProtection="1">
      <alignment horizontal="left" vertical="center" wrapText="1"/>
    </xf>
    <xf numFmtId="164" fontId="83" fillId="38" borderId="1" xfId="27" applyNumberFormat="1" applyFill="1" applyBorder="1" applyProtection="1">
      <alignment horizontal="left" vertical="center" wrapText="1"/>
    </xf>
    <xf numFmtId="4" fontId="20" fillId="25" borderId="17" xfId="0" applyNumberFormat="1" applyFont="1" applyFill="1" applyBorder="1" applyAlignment="1">
      <alignment horizontal="center"/>
    </xf>
    <xf numFmtId="4" fontId="68" fillId="0" borderId="17" xfId="0" applyNumberFormat="1" applyFont="1" applyFill="1" applyBorder="1"/>
    <xf numFmtId="4" fontId="18" fillId="42" borderId="17" xfId="0" applyNumberFormat="1" applyFont="1" applyFill="1" applyBorder="1" applyAlignment="1">
      <alignment horizontal="center"/>
    </xf>
    <xf numFmtId="0" fontId="87" fillId="32" borderId="1" xfId="10" applyNumberFormat="1" applyFont="1" applyBorder="1" applyProtection="1">
      <alignment horizontal="center" vertical="center" wrapText="1"/>
    </xf>
    <xf numFmtId="49" fontId="21" fillId="0" borderId="49" xfId="0" applyNumberFormat="1" applyFont="1" applyBorder="1" applyAlignment="1"/>
    <xf numFmtId="4" fontId="25" fillId="0" borderId="52" xfId="0" applyNumberFormat="1" applyFont="1" applyBorder="1" applyAlignment="1"/>
    <xf numFmtId="49" fontId="21" fillId="0" borderId="33" xfId="0" applyNumberFormat="1" applyFont="1" applyBorder="1" applyAlignment="1"/>
    <xf numFmtId="4" fontId="25" fillId="0" borderId="4" xfId="0" applyNumberFormat="1" applyFont="1" applyBorder="1" applyAlignment="1"/>
    <xf numFmtId="4" fontId="25" fillId="0" borderId="9" xfId="4" applyNumberFormat="1" applyFont="1" applyBorder="1"/>
    <xf numFmtId="4" fontId="25" fillId="4" borderId="4" xfId="0" applyNumberFormat="1" applyFont="1" applyFill="1" applyBorder="1" applyAlignment="1"/>
    <xf numFmtId="4" fontId="25" fillId="4" borderId="5" xfId="0" applyNumberFormat="1" applyFont="1" applyFill="1" applyBorder="1" applyAlignment="1"/>
    <xf numFmtId="0" fontId="11" fillId="0" borderId="9" xfId="0" applyFont="1" applyBorder="1" applyAlignment="1">
      <alignment wrapText="1"/>
    </xf>
    <xf numFmtId="4" fontId="25" fillId="0" borderId="11" xfId="0" applyNumberFormat="1" applyFont="1" applyBorder="1" applyAlignment="1"/>
    <xf numFmtId="0" fontId="8" fillId="0" borderId="14" xfId="0" applyFont="1" applyBorder="1" applyAlignment="1">
      <alignment wrapText="1"/>
    </xf>
    <xf numFmtId="4" fontId="25" fillId="4" borderId="59" xfId="0" applyNumberFormat="1" applyFont="1" applyFill="1" applyBorder="1" applyAlignment="1"/>
    <xf numFmtId="49" fontId="8" fillId="0" borderId="9" xfId="0" applyNumberFormat="1" applyFont="1" applyBorder="1" applyAlignment="1"/>
    <xf numFmtId="4" fontId="25" fillId="23" borderId="9" xfId="0" applyNumberFormat="1" applyFont="1" applyFill="1" applyBorder="1" applyAlignment="1"/>
    <xf numFmtId="4" fontId="25" fillId="23" borderId="1" xfId="0" applyNumberFormat="1" applyFont="1" applyFill="1" applyBorder="1" applyAlignment="1"/>
    <xf numFmtId="0" fontId="18" fillId="0" borderId="0" xfId="0" applyFont="1" applyFill="1" applyBorder="1" applyAlignment="1">
      <alignment horizontal="center"/>
    </xf>
    <xf numFmtId="49" fontId="18" fillId="0" borderId="0" xfId="0" applyNumberFormat="1" applyFont="1" applyFill="1" applyBorder="1" applyAlignment="1">
      <alignment horizontal="center" wrapText="1"/>
    </xf>
    <xf numFmtId="49" fontId="21" fillId="0" borderId="0" xfId="0" applyNumberFormat="1" applyFont="1" applyFill="1" applyBorder="1" applyAlignment="1">
      <alignment horizontal="center" wrapText="1"/>
    </xf>
    <xf numFmtId="49" fontId="3" fillId="0" borderId="0" xfId="0" applyNumberFormat="1" applyFont="1" applyFill="1" applyBorder="1" applyAlignment="1">
      <alignment horizontal="left" vertical="center" wrapText="1"/>
    </xf>
    <xf numFmtId="4" fontId="18" fillId="0" borderId="0" xfId="0" applyNumberFormat="1" applyFont="1" applyFill="1" applyBorder="1" applyAlignment="1">
      <alignment horizontal="center"/>
    </xf>
    <xf numFmtId="49" fontId="18" fillId="0" borderId="0" xfId="0" applyNumberFormat="1" applyFont="1" applyFill="1" applyBorder="1" applyAlignment="1">
      <alignment horizontal="center"/>
    </xf>
    <xf numFmtId="49" fontId="2" fillId="0" borderId="0"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center"/>
    </xf>
    <xf numFmtId="49" fontId="10" fillId="0" borderId="0" xfId="0" applyNumberFormat="1" applyFont="1" applyFill="1" applyBorder="1" applyAlignment="1">
      <alignment horizontal="center" wrapText="1"/>
    </xf>
    <xf numFmtId="4" fontId="20" fillId="0" borderId="0" xfId="0" applyNumberFormat="1" applyFont="1" applyFill="1" applyBorder="1" applyAlignment="1">
      <alignment horizontal="center"/>
    </xf>
    <xf numFmtId="49" fontId="4" fillId="0" borderId="0" xfId="0" applyNumberFormat="1" applyFont="1" applyFill="1" applyBorder="1" applyAlignment="1">
      <alignment horizontal="center" wrapText="1"/>
    </xf>
    <xf numFmtId="49" fontId="21" fillId="0" borderId="0" xfId="0" applyNumberFormat="1" applyFont="1" applyFill="1" applyBorder="1" applyAlignment="1">
      <alignment horizontal="center"/>
    </xf>
    <xf numFmtId="4" fontId="13" fillId="0" borderId="0" xfId="0" applyNumberFormat="1" applyFont="1" applyFill="1" applyBorder="1" applyAlignment="1">
      <alignment horizontal="center"/>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0" xfId="0" applyFont="1" applyFill="1" applyBorder="1"/>
    <xf numFmtId="4" fontId="9" fillId="0" borderId="0" xfId="0" applyNumberFormat="1" applyFont="1" applyFill="1" applyBorder="1" applyAlignment="1">
      <alignment horizontal="center"/>
    </xf>
    <xf numFmtId="4" fontId="13" fillId="0" borderId="0" xfId="0" applyNumberFormat="1" applyFont="1" applyFill="1" applyBorder="1"/>
    <xf numFmtId="49" fontId="16"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0" fontId="1" fillId="0" borderId="0" xfId="0" applyFont="1" applyFill="1" applyBorder="1" applyAlignment="1">
      <alignment horizontal="left"/>
    </xf>
    <xf numFmtId="0" fontId="89" fillId="0" borderId="0" xfId="29" applyNumberFormat="1" applyProtection="1">
      <alignment horizontal="left" vertical="center"/>
    </xf>
    <xf numFmtId="0" fontId="90" fillId="0" borderId="0" xfId="30" applyNumberFormat="1" applyProtection="1">
      <alignment horizontal="center" vertical="center" wrapText="1"/>
    </xf>
    <xf numFmtId="0" fontId="88" fillId="0" borderId="0" xfId="32" applyNumberFormat="1" applyProtection="1">
      <alignment horizontal="center" vertical="center"/>
    </xf>
    <xf numFmtId="0" fontId="89" fillId="0" borderId="0" xfId="39" applyNumberFormat="1" applyProtection="1">
      <alignment horizontal="center" vertical="center"/>
    </xf>
    <xf numFmtId="0" fontId="89" fillId="0" borderId="0" xfId="29" applyNumberFormat="1" applyFont="1" applyProtection="1">
      <alignment horizontal="left" vertical="center"/>
    </xf>
    <xf numFmtId="0" fontId="88" fillId="0" borderId="0" xfId="32" applyNumberFormat="1" applyFont="1" applyProtection="1">
      <alignment horizontal="center" vertical="center"/>
    </xf>
    <xf numFmtId="0" fontId="89" fillId="0" borderId="0" xfId="39" applyNumberFormat="1" applyFont="1" applyProtection="1">
      <alignment horizontal="center" vertical="center"/>
    </xf>
    <xf numFmtId="49" fontId="91" fillId="0" borderId="0" xfId="50" applyNumberFormat="1" applyFont="1" applyProtection="1">
      <alignment horizontal="center" vertical="center" wrapText="1"/>
    </xf>
    <xf numFmtId="49" fontId="91" fillId="0" borderId="0" xfId="50" applyNumberFormat="1" applyProtection="1">
      <alignment horizontal="center" vertical="center" wrapText="1"/>
    </xf>
    <xf numFmtId="0" fontId="88" fillId="0" borderId="88" xfId="53" applyNumberFormat="1" applyProtection="1">
      <alignment horizontal="center" vertical="center"/>
    </xf>
    <xf numFmtId="0" fontId="89" fillId="0" borderId="88" xfId="54" applyNumberFormat="1" applyProtection="1">
      <alignment horizontal="center" vertical="center"/>
    </xf>
    <xf numFmtId="0" fontId="89" fillId="0" borderId="77" xfId="65" applyNumberFormat="1" applyProtection="1">
      <alignment horizontal="center" vertical="center" wrapText="1"/>
    </xf>
    <xf numFmtId="0" fontId="88" fillId="0" borderId="77" xfId="66" applyNumberFormat="1" applyProtection="1">
      <alignment horizontal="center" vertical="center"/>
    </xf>
    <xf numFmtId="49" fontId="92" fillId="0" borderId="77" xfId="67" applyNumberFormat="1" applyProtection="1">
      <alignment horizontal="center" vertical="center" wrapText="1"/>
    </xf>
    <xf numFmtId="0" fontId="89" fillId="32" borderId="90" xfId="9" applyNumberFormat="1" applyFont="1" applyBorder="1" applyAlignment="1" applyProtection="1">
      <alignment horizontal="center" vertical="center"/>
    </xf>
    <xf numFmtId="0" fontId="89" fillId="0" borderId="77" xfId="68" applyNumberFormat="1" applyProtection="1">
      <alignment horizontal="center" vertical="center"/>
    </xf>
    <xf numFmtId="0" fontId="89" fillId="0" borderId="95" xfId="17" applyNumberFormat="1" applyFont="1" applyBorder="1" applyProtection="1">
      <alignment horizontal="left" vertical="center" wrapText="1"/>
    </xf>
    <xf numFmtId="0" fontId="89" fillId="0" borderId="98" xfId="19" applyNumberFormat="1" applyFont="1" applyBorder="1" applyProtection="1">
      <alignment horizontal="left" vertical="center" wrapText="1"/>
    </xf>
    <xf numFmtId="0" fontId="91" fillId="0" borderId="94" xfId="25" applyNumberFormat="1" applyFont="1" applyBorder="1" applyProtection="1">
      <alignment horizontal="left" vertical="center" wrapText="1"/>
    </xf>
    <xf numFmtId="49" fontId="89" fillId="0" borderId="94" xfId="101" applyNumberFormat="1" applyProtection="1">
      <alignment horizontal="left" vertical="center" wrapText="1" indent="1"/>
    </xf>
    <xf numFmtId="49" fontId="91" fillId="0" borderId="94" xfId="104" applyNumberFormat="1" applyProtection="1">
      <alignment vertical="center" wrapText="1"/>
    </xf>
    <xf numFmtId="0" fontId="93" fillId="0" borderId="78" xfId="107" applyNumberFormat="1" applyBorder="1" applyProtection="1">
      <alignment horizontal="center" vertical="center" shrinkToFit="1"/>
    </xf>
    <xf numFmtId="49" fontId="89" fillId="33" borderId="94" xfId="26" applyNumberFormat="1" applyFont="1" applyBorder="1" applyProtection="1">
      <alignment horizontal="left" vertical="center" wrapText="1"/>
    </xf>
    <xf numFmtId="0" fontId="93" fillId="0" borderId="97" xfId="109" applyNumberFormat="1" applyBorder="1" applyProtection="1">
      <alignment horizontal="center" vertical="center" shrinkToFit="1"/>
    </xf>
    <xf numFmtId="4" fontId="88" fillId="0" borderId="96" xfId="72" applyNumberFormat="1" applyBorder="1" applyProtection="1">
      <alignment horizontal="center" vertical="center" shrinkToFit="1"/>
    </xf>
    <xf numFmtId="0" fontId="90" fillId="0" borderId="0" xfId="35" applyNumberFormat="1" applyBorder="1" applyProtection="1">
      <alignment horizontal="center" vertical="center" wrapText="1"/>
    </xf>
    <xf numFmtId="0" fontId="89" fillId="0" borderId="0" xfId="41" applyNumberFormat="1" applyBorder="1" applyProtection="1">
      <alignment horizontal="center" vertical="center"/>
    </xf>
    <xf numFmtId="0" fontId="89" fillId="0" borderId="0" xfId="48" applyNumberFormat="1" applyFont="1" applyBorder="1" applyProtection="1">
      <alignment horizontal="center" vertical="center"/>
    </xf>
    <xf numFmtId="0" fontId="89" fillId="0" borderId="0" xfId="41" applyNumberFormat="1" applyFont="1" applyBorder="1" applyProtection="1">
      <alignment horizontal="center" vertical="center"/>
    </xf>
    <xf numFmtId="0" fontId="88" fillId="0" borderId="99" xfId="66" applyNumberFormat="1" applyBorder="1" applyProtection="1">
      <alignment horizontal="center" vertical="center"/>
    </xf>
    <xf numFmtId="49" fontId="92" fillId="0" borderId="99" xfId="67" applyNumberFormat="1" applyBorder="1" applyProtection="1">
      <alignment horizontal="center" vertical="center" wrapText="1"/>
    </xf>
    <xf numFmtId="4" fontId="88" fillId="0" borderId="7" xfId="94" applyNumberFormat="1" applyFont="1" applyBorder="1" applyProtection="1">
      <alignment horizontal="center" vertical="center" shrinkToFit="1"/>
    </xf>
    <xf numFmtId="4" fontId="99" fillId="0" borderId="9" xfId="82" applyNumberFormat="1" applyFont="1" applyBorder="1" applyProtection="1">
      <alignment horizontal="center" vertical="center" shrinkToFit="1"/>
    </xf>
    <xf numFmtId="4" fontId="99" fillId="0" borderId="92" xfId="82" applyNumberFormat="1" applyFont="1" applyBorder="1" applyProtection="1">
      <alignment horizontal="center" vertical="center" shrinkToFit="1"/>
    </xf>
    <xf numFmtId="4" fontId="99" fillId="0" borderId="99" xfId="73" applyNumberFormat="1" applyFont="1" applyBorder="1" applyProtection="1">
      <alignment horizontal="center" vertical="center" shrinkToFit="1"/>
    </xf>
    <xf numFmtId="49" fontId="91" fillId="0" borderId="94" xfId="15" applyNumberFormat="1" applyFont="1" applyFill="1" applyBorder="1" applyProtection="1">
      <alignment horizontal="left" vertical="center" wrapText="1"/>
    </xf>
    <xf numFmtId="49" fontId="91" fillId="25" borderId="94" xfId="15" applyNumberFormat="1" applyFont="1" applyFill="1" applyBorder="1" applyProtection="1">
      <alignment horizontal="left" vertical="center" wrapText="1"/>
    </xf>
    <xf numFmtId="0" fontId="89" fillId="0" borderId="94" xfId="21" applyNumberFormat="1" applyFont="1" applyFill="1" applyBorder="1" applyProtection="1">
      <alignment horizontal="left" vertical="center" wrapText="1"/>
    </xf>
    <xf numFmtId="0" fontId="89" fillId="0" borderId="95" xfId="17" applyNumberFormat="1" applyFont="1" applyFill="1" applyBorder="1" applyProtection="1">
      <alignment horizontal="left" vertical="center" wrapText="1"/>
    </xf>
    <xf numFmtId="4" fontId="88" fillId="0" borderId="7" xfId="77" applyNumberFormat="1" applyFont="1" applyFill="1" applyBorder="1" applyProtection="1">
      <alignment horizontal="center" vertical="center" shrinkToFit="1"/>
    </xf>
    <xf numFmtId="4" fontId="88" fillId="0" borderId="9" xfId="72" applyNumberFormat="1" applyFont="1" applyFill="1" applyBorder="1" applyProtection="1">
      <alignment horizontal="center" vertical="center" shrinkToFit="1"/>
    </xf>
    <xf numFmtId="4" fontId="88" fillId="0" borderId="44" xfId="77" applyNumberFormat="1" applyFont="1" applyFill="1" applyBorder="1" applyProtection="1">
      <alignment horizontal="center" vertical="center" shrinkToFit="1"/>
    </xf>
    <xf numFmtId="4" fontId="99" fillId="0" borderId="96" xfId="79" applyNumberFormat="1" applyFont="1" applyFill="1" applyBorder="1" applyProtection="1">
      <alignment horizontal="center" vertical="center" shrinkToFit="1"/>
    </xf>
    <xf numFmtId="4" fontId="99" fillId="0" borderId="109" xfId="79" applyNumberFormat="1" applyFont="1" applyFill="1" applyBorder="1" applyProtection="1">
      <alignment horizontal="center" vertical="center" shrinkToFit="1"/>
    </xf>
    <xf numFmtId="4" fontId="88" fillId="0" borderId="12" xfId="72" applyNumberFormat="1" applyFont="1" applyFill="1" applyBorder="1" applyProtection="1">
      <alignment horizontal="center" vertical="center" shrinkToFit="1"/>
    </xf>
    <xf numFmtId="4" fontId="99" fillId="0" borderId="99" xfId="82" applyNumberFormat="1" applyFont="1" applyBorder="1" applyProtection="1">
      <alignment horizontal="center" vertical="center" shrinkToFit="1"/>
    </xf>
    <xf numFmtId="4" fontId="99" fillId="0" borderId="110" xfId="82" applyNumberFormat="1" applyFont="1" applyBorder="1" applyProtection="1">
      <alignment horizontal="center" vertical="center" shrinkToFit="1"/>
    </xf>
    <xf numFmtId="4" fontId="88" fillId="0" borderId="111" xfId="72" applyNumberFormat="1" applyFont="1" applyFill="1" applyBorder="1" applyProtection="1">
      <alignment horizontal="center" vertical="center" shrinkToFit="1"/>
    </xf>
    <xf numFmtId="4" fontId="99" fillId="0" borderId="77" xfId="73" applyNumberFormat="1" applyFont="1" applyFill="1" applyBorder="1" applyProtection="1">
      <alignment horizontal="center" vertical="center" shrinkToFit="1"/>
    </xf>
    <xf numFmtId="4" fontId="99" fillId="0" borderId="112" xfId="73" applyNumberFormat="1" applyFont="1" applyFill="1" applyBorder="1" applyProtection="1">
      <alignment horizontal="center" vertical="center" shrinkToFit="1"/>
    </xf>
    <xf numFmtId="4" fontId="88" fillId="0" borderId="113" xfId="72" applyNumberFormat="1" applyFont="1" applyFill="1" applyBorder="1" applyProtection="1">
      <alignment horizontal="center" vertical="center" shrinkToFit="1"/>
    </xf>
    <xf numFmtId="4" fontId="88" fillId="0" borderId="113" xfId="72" applyNumberFormat="1" applyFont="1" applyBorder="1" applyProtection="1">
      <alignment horizontal="center" vertical="center" shrinkToFit="1"/>
    </xf>
    <xf numFmtId="4" fontId="99" fillId="0" borderId="77" xfId="73" applyNumberFormat="1" applyFont="1" applyBorder="1" applyProtection="1">
      <alignment horizontal="center" vertical="center" shrinkToFit="1"/>
    </xf>
    <xf numFmtId="4" fontId="99" fillId="0" borderId="112" xfId="73" applyNumberFormat="1" applyFont="1" applyBorder="1" applyProtection="1">
      <alignment horizontal="center" vertical="center" shrinkToFit="1"/>
    </xf>
    <xf numFmtId="4" fontId="88" fillId="0" borderId="114" xfId="77" applyNumberFormat="1" applyFont="1" applyBorder="1" applyProtection="1">
      <alignment horizontal="center" vertical="center" shrinkToFit="1"/>
    </xf>
    <xf numFmtId="4" fontId="99" fillId="0" borderId="96" xfId="79" applyNumberFormat="1" applyFont="1" applyBorder="1" applyProtection="1">
      <alignment horizontal="center" vertical="center" shrinkToFit="1"/>
    </xf>
    <xf numFmtId="4" fontId="99" fillId="0" borderId="109" xfId="79" applyNumberFormat="1" applyFont="1" applyBorder="1" applyProtection="1">
      <alignment horizontal="center" vertical="center" shrinkToFit="1"/>
    </xf>
    <xf numFmtId="4" fontId="88" fillId="0" borderId="111" xfId="81" applyNumberFormat="1" applyFont="1" applyBorder="1" applyProtection="1">
      <alignment horizontal="center" vertical="center" shrinkToFit="1"/>
    </xf>
    <xf numFmtId="4" fontId="88" fillId="0" borderId="115" xfId="89" applyNumberFormat="1" applyFont="1" applyBorder="1" applyProtection="1">
      <alignment shrinkToFit="1"/>
    </xf>
    <xf numFmtId="4" fontId="88" fillId="0" borderId="97" xfId="94" applyNumberFormat="1" applyFont="1" applyBorder="1" applyProtection="1">
      <alignment horizontal="center" vertical="center" shrinkToFit="1"/>
    </xf>
    <xf numFmtId="4" fontId="88" fillId="0" borderId="100" xfId="95" applyNumberFormat="1" applyFont="1" applyBorder="1" applyProtection="1">
      <alignment horizontal="center" vertical="center" shrinkToFit="1"/>
    </xf>
    <xf numFmtId="4" fontId="88" fillId="0" borderId="114" xfId="103" applyNumberFormat="1" applyFont="1" applyBorder="1" applyProtection="1">
      <alignment horizontal="center" vertical="center" wrapText="1"/>
    </xf>
    <xf numFmtId="4" fontId="88" fillId="0" borderId="116" xfId="72" applyNumberFormat="1" applyFont="1" applyBorder="1" applyProtection="1">
      <alignment horizontal="center" vertical="center" shrinkToFit="1"/>
    </xf>
    <xf numFmtId="4" fontId="99" fillId="0" borderId="117" xfId="73" applyNumberFormat="1" applyFont="1" applyBorder="1" applyProtection="1">
      <alignment horizontal="center" vertical="center" shrinkToFit="1"/>
    </xf>
    <xf numFmtId="4" fontId="99" fillId="0" borderId="118" xfId="73" applyNumberFormat="1" applyFont="1" applyBorder="1" applyProtection="1">
      <alignment horizontal="center" vertical="center" shrinkToFit="1"/>
    </xf>
    <xf numFmtId="4" fontId="99" fillId="0" borderId="114" xfId="79" applyNumberFormat="1" applyFont="1" applyFill="1" applyBorder="1" applyProtection="1">
      <alignment horizontal="center" vertical="center" shrinkToFit="1"/>
    </xf>
    <xf numFmtId="4" fontId="99" fillId="0" borderId="111" xfId="82" applyNumberFormat="1" applyFont="1" applyBorder="1" applyProtection="1">
      <alignment horizontal="center" vertical="center" shrinkToFit="1"/>
    </xf>
    <xf numFmtId="4" fontId="99" fillId="0" borderId="113" xfId="73" applyNumberFormat="1" applyFont="1" applyFill="1" applyBorder="1" applyProtection="1">
      <alignment horizontal="center" vertical="center" shrinkToFit="1"/>
    </xf>
    <xf numFmtId="4" fontId="99" fillId="0" borderId="113" xfId="73" applyNumberFormat="1" applyFont="1" applyBorder="1" applyProtection="1">
      <alignment horizontal="center" vertical="center" shrinkToFit="1"/>
    </xf>
    <xf numFmtId="4" fontId="99" fillId="0" borderId="114" xfId="79" applyNumberFormat="1" applyFont="1" applyBorder="1" applyProtection="1">
      <alignment horizontal="center" vertical="center" shrinkToFit="1"/>
    </xf>
    <xf numFmtId="4" fontId="88" fillId="0" borderId="115" xfId="96" applyNumberFormat="1" applyFont="1" applyBorder="1" applyProtection="1">
      <alignment horizontal="center" vertical="center" shrinkToFit="1"/>
    </xf>
    <xf numFmtId="4" fontId="99" fillId="0" borderId="116" xfId="73" applyNumberFormat="1" applyFont="1" applyBorder="1" applyProtection="1">
      <alignment horizontal="center" vertical="center" shrinkToFit="1"/>
    </xf>
    <xf numFmtId="4" fontId="21" fillId="0" borderId="0" xfId="0" applyNumberFormat="1" applyFont="1" applyFill="1" applyBorder="1" applyAlignment="1">
      <alignment horizontal="center"/>
    </xf>
    <xf numFmtId="4" fontId="21" fillId="0" borderId="0" xfId="0" applyNumberFormat="1" applyFont="1" applyFill="1" applyBorder="1" applyAlignment="1">
      <alignment horizontal="right"/>
    </xf>
    <xf numFmtId="0" fontId="21" fillId="0" borderId="0" xfId="0" applyFont="1" applyFill="1" applyBorder="1"/>
    <xf numFmtId="4" fontId="9" fillId="0" borderId="0" xfId="0" applyNumberFormat="1" applyFont="1" applyFill="1" applyBorder="1"/>
    <xf numFmtId="4" fontId="21" fillId="0" borderId="0" xfId="0" applyNumberFormat="1" applyFont="1" applyFill="1" applyBorder="1"/>
    <xf numFmtId="49" fontId="16" fillId="0" borderId="0" xfId="0" applyNumberFormat="1" applyFont="1" applyFill="1" applyBorder="1" applyAlignment="1">
      <alignment horizontal="center" vertical="center" wrapText="1"/>
    </xf>
    <xf numFmtId="49" fontId="61" fillId="0" borderId="0" xfId="0" applyNumberFormat="1" applyFont="1" applyFill="1" applyBorder="1" applyAlignment="1">
      <alignment horizontal="left" vertical="center" wrapText="1"/>
    </xf>
    <xf numFmtId="0" fontId="13" fillId="0" borderId="0" xfId="0" applyFont="1" applyFill="1" applyBorder="1"/>
    <xf numFmtId="0" fontId="13" fillId="0" borderId="0" xfId="0" applyFont="1" applyFill="1" applyBorder="1" applyAlignment="1">
      <alignment vertical="center"/>
    </xf>
    <xf numFmtId="0" fontId="4"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vertical="center"/>
    </xf>
    <xf numFmtId="4" fontId="2" fillId="0" borderId="0" xfId="0" applyNumberFormat="1" applyFont="1" applyFill="1" applyBorder="1"/>
    <xf numFmtId="0" fontId="13" fillId="0" borderId="0" xfId="0" applyFont="1" applyFill="1" applyBorder="1" applyAlignment="1">
      <alignment wrapText="1"/>
    </xf>
    <xf numFmtId="0" fontId="2" fillId="0" borderId="0" xfId="0" applyFont="1" applyFill="1" applyBorder="1" applyAlignment="1">
      <alignment wrapText="1"/>
    </xf>
    <xf numFmtId="0" fontId="9" fillId="0" borderId="0" xfId="0" applyFont="1" applyFill="1" applyBorder="1"/>
    <xf numFmtId="49" fontId="13" fillId="0" borderId="0" xfId="0" applyNumberFormat="1" applyFont="1" applyFill="1" applyBorder="1" applyAlignment="1">
      <alignment wrapText="1"/>
    </xf>
    <xf numFmtId="4" fontId="20" fillId="0" borderId="0" xfId="0" applyNumberFormat="1" applyFont="1" applyFill="1" applyBorder="1"/>
    <xf numFmtId="0" fontId="2" fillId="0" borderId="0" xfId="0" applyFont="1" applyFill="1" applyBorder="1" applyAlignment="1">
      <alignment horizontal="center"/>
    </xf>
    <xf numFmtId="4" fontId="88" fillId="0" borderId="119" xfId="72" applyNumberFormat="1" applyBorder="1" applyProtection="1">
      <alignment horizontal="center" vertical="center" shrinkToFit="1"/>
    </xf>
    <xf numFmtId="4" fontId="88" fillId="0" borderId="107" xfId="72" applyNumberFormat="1" applyBorder="1" applyProtection="1">
      <alignment horizontal="center" vertical="center" shrinkToFit="1"/>
    </xf>
    <xf numFmtId="0" fontId="93" fillId="0" borderId="107" xfId="107" applyNumberFormat="1" applyBorder="1" applyProtection="1">
      <alignment horizontal="center" vertical="center" shrinkToFit="1"/>
    </xf>
    <xf numFmtId="4" fontId="88" fillId="0" borderId="113" xfId="72" applyNumberFormat="1" applyBorder="1" applyProtection="1">
      <alignment horizontal="center" vertical="center" shrinkToFit="1"/>
    </xf>
    <xf numFmtId="4" fontId="88" fillId="0" borderId="77" xfId="72" applyNumberFormat="1" applyBorder="1" applyProtection="1">
      <alignment horizontal="center" vertical="center" shrinkToFit="1"/>
    </xf>
    <xf numFmtId="0" fontId="93" fillId="0" borderId="77" xfId="107" applyNumberFormat="1" applyBorder="1" applyProtection="1">
      <alignment horizontal="center" vertical="center" shrinkToFit="1"/>
    </xf>
    <xf numFmtId="4" fontId="88" fillId="0" borderId="114" xfId="77" applyNumberFormat="1" applyBorder="1" applyProtection="1">
      <alignment horizontal="center" vertical="center" shrinkToFit="1"/>
    </xf>
    <xf numFmtId="4" fontId="88" fillId="0" borderId="96" xfId="77" applyNumberFormat="1" applyBorder="1" applyProtection="1">
      <alignment horizontal="center" vertical="center" shrinkToFit="1"/>
    </xf>
    <xf numFmtId="0" fontId="93" fillId="0" borderId="96" xfId="109" applyNumberFormat="1" applyBorder="1" applyProtection="1">
      <alignment horizontal="center" vertical="center" shrinkToFit="1"/>
    </xf>
    <xf numFmtId="4" fontId="88" fillId="0" borderId="111" xfId="81" applyNumberFormat="1" applyBorder="1" applyProtection="1">
      <alignment horizontal="center" vertical="center" shrinkToFit="1"/>
    </xf>
    <xf numFmtId="4" fontId="88" fillId="0" borderId="99" xfId="81" applyNumberFormat="1" applyBorder="1" applyProtection="1">
      <alignment horizontal="center" vertical="center" shrinkToFit="1"/>
    </xf>
    <xf numFmtId="0" fontId="93" fillId="0" borderId="99" xfId="111" applyNumberFormat="1" applyBorder="1" applyProtection="1">
      <alignment horizontal="center" vertical="center" shrinkToFit="1"/>
    </xf>
    <xf numFmtId="4" fontId="88" fillId="0" borderId="114" xfId="72" applyNumberFormat="1" applyBorder="1" applyProtection="1">
      <alignment horizontal="center" vertical="center" shrinkToFit="1"/>
    </xf>
    <xf numFmtId="4" fontId="88" fillId="0" borderId="123" xfId="72" applyNumberFormat="1" applyBorder="1" applyProtection="1">
      <alignment horizontal="center" vertical="center" shrinkToFit="1"/>
    </xf>
    <xf numFmtId="0" fontId="93" fillId="0" borderId="117" xfId="107" applyNumberFormat="1" applyBorder="1" applyProtection="1">
      <alignment horizontal="center" vertical="center" shrinkToFit="1"/>
    </xf>
    <xf numFmtId="4" fontId="88" fillId="0" borderId="124" xfId="72" applyNumberFormat="1" applyFont="1" applyFill="1" applyBorder="1" applyProtection="1">
      <alignment horizontal="center" vertical="center" shrinkToFit="1"/>
    </xf>
    <xf numFmtId="4" fontId="88" fillId="0" borderId="125" xfId="72" applyNumberFormat="1" applyFont="1" applyFill="1" applyBorder="1" applyProtection="1">
      <alignment horizontal="center" vertical="center" shrinkToFit="1"/>
    </xf>
    <xf numFmtId="4" fontId="88" fillId="0" borderId="125" xfId="72" applyNumberFormat="1" applyFont="1" applyBorder="1" applyProtection="1">
      <alignment horizontal="center" vertical="center" shrinkToFit="1"/>
    </xf>
    <xf numFmtId="4" fontId="88" fillId="0" borderId="126" xfId="77" applyNumberFormat="1" applyFont="1" applyBorder="1" applyProtection="1">
      <alignment horizontal="center" vertical="center" shrinkToFit="1"/>
    </xf>
    <xf numFmtId="4" fontId="88" fillId="0" borderId="124" xfId="81" applyNumberFormat="1" applyFont="1" applyBorder="1" applyProtection="1">
      <alignment horizontal="center" vertical="center" shrinkToFit="1"/>
    </xf>
    <xf numFmtId="4" fontId="88" fillId="0" borderId="120" xfId="89" applyNumberFormat="1" applyFont="1" applyBorder="1" applyProtection="1">
      <alignment shrinkToFit="1"/>
    </xf>
    <xf numFmtId="4" fontId="88" fillId="0" borderId="126" xfId="103" applyNumberFormat="1" applyFont="1" applyBorder="1" applyProtection="1">
      <alignment horizontal="center" vertical="center" wrapText="1"/>
    </xf>
    <xf numFmtId="4" fontId="99" fillId="0" borderId="126" xfId="79" applyNumberFormat="1" applyFont="1" applyFill="1" applyBorder="1" applyProtection="1">
      <alignment horizontal="center" vertical="center" shrinkToFit="1"/>
    </xf>
    <xf numFmtId="4" fontId="99" fillId="0" borderId="124" xfId="82" applyNumberFormat="1" applyFont="1" applyBorder="1" applyProtection="1">
      <alignment horizontal="center" vertical="center" shrinkToFit="1"/>
    </xf>
    <xf numFmtId="4" fontId="99" fillId="0" borderId="125" xfId="73" applyNumberFormat="1" applyFont="1" applyFill="1" applyBorder="1" applyProtection="1">
      <alignment horizontal="center" vertical="center" shrinkToFit="1"/>
    </xf>
    <xf numFmtId="4" fontId="99" fillId="0" borderId="125" xfId="73" applyNumberFormat="1" applyFont="1" applyBorder="1" applyProtection="1">
      <alignment horizontal="center" vertical="center" shrinkToFit="1"/>
    </xf>
    <xf numFmtId="4" fontId="99" fillId="0" borderId="126" xfId="79" applyNumberFormat="1" applyFont="1" applyBorder="1" applyProtection="1">
      <alignment horizontal="center" vertical="center" shrinkToFit="1"/>
    </xf>
    <xf numFmtId="4" fontId="88" fillId="0" borderId="120" xfId="96" applyNumberFormat="1" applyFont="1" applyBorder="1" applyProtection="1">
      <alignment horizontal="center" vertical="center" shrinkToFit="1"/>
    </xf>
    <xf numFmtId="0" fontId="89" fillId="0" borderId="103" xfId="36" applyNumberFormat="1" applyBorder="1" applyProtection="1">
      <alignment horizontal="center" vertical="center"/>
    </xf>
    <xf numFmtId="49" fontId="88" fillId="0" borderId="104" xfId="42" applyNumberFormat="1" applyBorder="1" applyProtection="1">
      <alignment horizontal="center" vertical="center" wrapText="1"/>
    </xf>
    <xf numFmtId="14" fontId="89" fillId="0" borderId="105" xfId="45" applyNumberFormat="1" applyBorder="1" applyProtection="1">
      <alignment horizontal="center"/>
    </xf>
    <xf numFmtId="0" fontId="89" fillId="0" borderId="105" xfId="49" applyNumberFormat="1" applyFont="1" applyBorder="1" applyProtection="1">
      <alignment horizontal="center"/>
    </xf>
    <xf numFmtId="0" fontId="89" fillId="0" borderId="105" xfId="52" applyNumberFormat="1" applyFont="1" applyBorder="1" applyProtection="1">
      <alignment horizontal="center"/>
    </xf>
    <xf numFmtId="0" fontId="88" fillId="0" borderId="105" xfId="56" applyNumberFormat="1" applyBorder="1" applyProtection="1">
      <alignment horizontal="center" vertical="center"/>
    </xf>
    <xf numFmtId="0" fontId="88" fillId="0" borderId="121" xfId="59" applyNumberFormat="1" applyBorder="1" applyProtection="1">
      <alignment horizontal="center" vertical="center"/>
    </xf>
    <xf numFmtId="49" fontId="96" fillId="0" borderId="96" xfId="75" applyNumberFormat="1" applyFont="1" applyFill="1" applyProtection="1">
      <alignment horizontal="center" vertical="center" wrapText="1"/>
    </xf>
    <xf numFmtId="49" fontId="88" fillId="0" borderId="96" xfId="76" applyNumberFormat="1" applyFont="1" applyFill="1" applyProtection="1">
      <alignment horizontal="center" vertical="center"/>
    </xf>
    <xf numFmtId="49" fontId="88" fillId="0" borderId="97" xfId="76" applyNumberFormat="1" applyFont="1" applyFill="1" applyBorder="1" applyProtection="1">
      <alignment horizontal="center" vertical="center"/>
    </xf>
    <xf numFmtId="49" fontId="88" fillId="0" borderId="99" xfId="80" applyNumberFormat="1" applyFont="1" applyProtection="1">
      <alignment horizontal="center" vertical="center"/>
    </xf>
    <xf numFmtId="49" fontId="88" fillId="0" borderId="91" xfId="80" applyNumberFormat="1" applyFont="1" applyBorder="1" applyProtection="1">
      <alignment horizontal="center" vertical="center"/>
    </xf>
    <xf numFmtId="49" fontId="88" fillId="0" borderId="77" xfId="83" applyNumberFormat="1" applyFont="1" applyFill="1" applyProtection="1">
      <alignment horizontal="center" vertical="center"/>
    </xf>
    <xf numFmtId="49" fontId="88" fillId="0" borderId="78" xfId="83" applyNumberFormat="1" applyFont="1" applyFill="1" applyBorder="1" applyProtection="1">
      <alignment horizontal="center" vertical="center"/>
    </xf>
    <xf numFmtId="49" fontId="88" fillId="0" borderId="77" xfId="83" applyNumberFormat="1" applyFont="1" applyProtection="1">
      <alignment horizontal="center" vertical="center"/>
    </xf>
    <xf numFmtId="49" fontId="88" fillId="0" borderId="78" xfId="83" applyNumberFormat="1" applyFont="1" applyBorder="1" applyProtection="1">
      <alignment horizontal="center" vertical="center"/>
    </xf>
    <xf numFmtId="49" fontId="96" fillId="0" borderId="96" xfId="75" applyNumberFormat="1" applyFont="1" applyProtection="1">
      <alignment horizontal="center" vertical="center" wrapText="1"/>
    </xf>
    <xf numFmtId="49" fontId="88" fillId="0" borderId="96" xfId="76" applyNumberFormat="1" applyFont="1" applyProtection="1">
      <alignment horizontal="center" vertical="center"/>
    </xf>
    <xf numFmtId="49" fontId="88" fillId="0" borderId="97" xfId="76" applyNumberFormat="1" applyFont="1" applyBorder="1" applyProtection="1">
      <alignment horizontal="center" vertical="center"/>
    </xf>
    <xf numFmtId="49" fontId="88" fillId="0" borderId="99" xfId="84" applyNumberFormat="1" applyFont="1" applyProtection="1">
      <alignment horizontal="center" vertical="center" wrapText="1"/>
    </xf>
    <xf numFmtId="49" fontId="88" fillId="0" borderId="77" xfId="85" applyNumberFormat="1" applyFont="1" applyFill="1" applyProtection="1">
      <alignment horizontal="center" vertical="center" wrapText="1"/>
    </xf>
    <xf numFmtId="0" fontId="88" fillId="0" borderId="97" xfId="86" applyNumberFormat="1" applyFont="1" applyProtection="1"/>
    <xf numFmtId="0" fontId="88" fillId="0" borderId="100" xfId="87" applyNumberFormat="1" applyFont="1" applyProtection="1"/>
    <xf numFmtId="49" fontId="88" fillId="0" borderId="97" xfId="88" applyNumberFormat="1" applyFont="1" applyBorder="1" applyProtection="1">
      <alignment horizontal="left" vertical="center"/>
    </xf>
    <xf numFmtId="0" fontId="88" fillId="0" borderId="97" xfId="98" applyNumberFormat="1" applyFont="1" applyBorder="1" applyProtection="1">
      <alignment horizontal="center" vertical="center"/>
    </xf>
    <xf numFmtId="0" fontId="88" fillId="0" borderId="91" xfId="99" applyNumberFormat="1" applyFont="1" applyBorder="1" applyProtection="1">
      <alignment horizontal="center" vertical="center"/>
    </xf>
    <xf numFmtId="49" fontId="96" fillId="0" borderId="77" xfId="70" applyNumberFormat="1" applyFont="1" applyProtection="1">
      <alignment horizontal="center" vertical="center"/>
    </xf>
    <xf numFmtId="49" fontId="96" fillId="0" borderId="78" xfId="71" applyNumberFormat="1" applyFont="1" applyBorder="1" applyProtection="1">
      <alignment horizontal="center" vertical="center" wrapText="1"/>
    </xf>
    <xf numFmtId="49" fontId="96" fillId="0" borderId="77" xfId="71" applyNumberFormat="1" applyFont="1" applyProtection="1">
      <alignment horizontal="center" vertical="center" wrapText="1"/>
    </xf>
    <xf numFmtId="49" fontId="88" fillId="0" borderId="77" xfId="85" applyNumberFormat="1" applyFont="1" applyProtection="1">
      <alignment horizontal="center" vertical="center" wrapText="1"/>
    </xf>
    <xf numFmtId="49" fontId="88" fillId="0" borderId="78" xfId="85" applyNumberFormat="1" applyFont="1" applyBorder="1" applyProtection="1">
      <alignment horizontal="center" vertical="center" wrapText="1"/>
    </xf>
    <xf numFmtId="49" fontId="88" fillId="0" borderId="91" xfId="84" applyNumberFormat="1" applyFont="1" applyBorder="1" applyProtection="1">
      <alignment horizontal="center" vertical="center" wrapText="1"/>
    </xf>
    <xf numFmtId="49" fontId="88" fillId="0" borderId="96" xfId="102" applyNumberFormat="1" applyFont="1" applyProtection="1">
      <alignment horizontal="center" vertical="center" wrapText="1"/>
    </xf>
    <xf numFmtId="49" fontId="88" fillId="0" borderId="97" xfId="102" applyNumberFormat="1" applyFont="1" applyBorder="1" applyProtection="1">
      <alignment horizontal="center" vertical="center" wrapText="1"/>
    </xf>
    <xf numFmtId="49" fontId="96" fillId="0" borderId="96" xfId="105" applyNumberFormat="1" applyFont="1" applyProtection="1">
      <alignment horizontal="center" vertical="center"/>
    </xf>
    <xf numFmtId="49" fontId="96" fillId="0" borderId="97" xfId="75" applyNumberFormat="1" applyFont="1" applyBorder="1" applyProtection="1">
      <alignment horizontal="center" vertical="center" wrapText="1"/>
    </xf>
    <xf numFmtId="49" fontId="88" fillId="0" borderId="96" xfId="83" applyNumberFormat="1" applyFont="1" applyBorder="1" applyProtection="1">
      <alignment horizontal="center" vertical="center"/>
    </xf>
    <xf numFmtId="49" fontId="88" fillId="0" borderId="96" xfId="85" applyNumberFormat="1" applyFont="1" applyBorder="1" applyProtection="1">
      <alignment horizontal="center" vertical="center" wrapText="1"/>
    </xf>
    <xf numFmtId="49" fontId="88" fillId="0" borderId="102" xfId="83" applyNumberFormat="1" applyFont="1" applyBorder="1" applyProtection="1">
      <alignment horizontal="center" vertical="center"/>
    </xf>
    <xf numFmtId="49" fontId="88" fillId="0" borderId="102" xfId="85" applyNumberFormat="1" applyFont="1" applyBorder="1" applyProtection="1">
      <alignment horizontal="center" vertical="center" wrapText="1"/>
    </xf>
    <xf numFmtId="4" fontId="88" fillId="0" borderId="128" xfId="72" applyNumberFormat="1" applyFont="1" applyBorder="1" applyProtection="1">
      <alignment horizontal="center" vertical="center" shrinkToFit="1"/>
    </xf>
    <xf numFmtId="4" fontId="99" fillId="0" borderId="128" xfId="73" applyNumberFormat="1" applyFont="1" applyBorder="1" applyProtection="1">
      <alignment horizontal="center" vertical="center" shrinkToFit="1"/>
    </xf>
    <xf numFmtId="49" fontId="88" fillId="0" borderId="97" xfId="85" applyNumberFormat="1" applyFont="1" applyBorder="1" applyProtection="1">
      <alignment horizontal="center" vertical="center" wrapText="1"/>
    </xf>
    <xf numFmtId="49" fontId="88" fillId="0" borderId="122" xfId="85" applyNumberFormat="1" applyFont="1" applyBorder="1" applyProtection="1">
      <alignment horizontal="center" vertical="center" wrapText="1"/>
    </xf>
    <xf numFmtId="4" fontId="88" fillId="0" borderId="130" xfId="72" applyNumberFormat="1" applyBorder="1" applyProtection="1">
      <alignment horizontal="center" vertical="center" shrinkToFit="1"/>
    </xf>
    <xf numFmtId="4" fontId="99" fillId="0" borderId="46" xfId="107" applyNumberFormat="1" applyFont="1" applyBorder="1" applyProtection="1">
      <alignment horizontal="center" vertical="center" shrinkToFit="1"/>
    </xf>
    <xf numFmtId="4" fontId="99" fillId="0" borderId="24" xfId="107" applyNumberFormat="1" applyFont="1" applyBorder="1" applyProtection="1">
      <alignment horizontal="center" vertical="center" shrinkToFit="1"/>
    </xf>
    <xf numFmtId="4" fontId="99" fillId="0" borderId="36" xfId="107" applyNumberFormat="1" applyFont="1" applyBorder="1" applyProtection="1">
      <alignment horizontal="center" vertical="center" shrinkToFit="1"/>
    </xf>
    <xf numFmtId="4" fontId="99" fillId="0" borderId="17" xfId="107" applyNumberFormat="1" applyFont="1" applyBorder="1" applyProtection="1">
      <alignment horizontal="center" vertical="center" shrinkToFit="1"/>
    </xf>
    <xf numFmtId="4" fontId="99" fillId="0" borderId="1" xfId="107" applyNumberFormat="1" applyFont="1" applyBorder="1" applyProtection="1">
      <alignment horizontal="center" vertical="center" shrinkToFit="1"/>
    </xf>
    <xf numFmtId="4" fontId="99" fillId="0" borderId="16" xfId="107" applyNumberFormat="1" applyFont="1" applyBorder="1" applyProtection="1">
      <alignment horizontal="center" vertical="center" shrinkToFit="1"/>
    </xf>
    <xf numFmtId="4" fontId="99" fillId="0" borderId="17" xfId="109" applyNumberFormat="1" applyFont="1" applyBorder="1" applyProtection="1">
      <alignment horizontal="center" vertical="center" shrinkToFit="1"/>
    </xf>
    <xf numFmtId="4" fontId="99" fillId="0" borderId="1" xfId="109" applyNumberFormat="1" applyFont="1" applyBorder="1" applyProtection="1">
      <alignment horizontal="center" vertical="center" shrinkToFit="1"/>
    </xf>
    <xf numFmtId="4" fontId="99" fillId="0" borderId="16" xfId="109" applyNumberFormat="1" applyFont="1" applyBorder="1" applyProtection="1">
      <alignment horizontal="center" vertical="center" shrinkToFit="1"/>
    </xf>
    <xf numFmtId="4" fontId="99" fillId="0" borderId="17" xfId="111" applyNumberFormat="1" applyFont="1" applyBorder="1" applyProtection="1">
      <alignment horizontal="center" vertical="center" shrinkToFit="1"/>
    </xf>
    <xf numFmtId="4" fontId="99" fillId="0" borderId="1" xfId="111" applyNumberFormat="1" applyFont="1" applyBorder="1" applyProtection="1">
      <alignment horizontal="center" vertical="center" shrinkToFit="1"/>
    </xf>
    <xf numFmtId="4" fontId="99" fillId="0" borderId="16" xfId="111" applyNumberFormat="1" applyFont="1" applyBorder="1" applyProtection="1">
      <alignment horizontal="center" vertical="center" shrinkToFit="1"/>
    </xf>
    <xf numFmtId="4" fontId="99" fillId="0" borderId="47" xfId="107" applyNumberFormat="1" applyFont="1" applyBorder="1" applyProtection="1">
      <alignment horizontal="center" vertical="center" shrinkToFit="1"/>
    </xf>
    <xf numFmtId="4" fontId="99" fillId="0" borderId="37" xfId="107" applyNumberFormat="1" applyFont="1" applyBorder="1" applyProtection="1">
      <alignment horizontal="center" vertical="center" shrinkToFit="1"/>
    </xf>
    <xf numFmtId="4" fontId="99" fillId="0" borderId="38" xfId="107" applyNumberFormat="1" applyFont="1" applyBorder="1" applyProtection="1">
      <alignment horizontal="center" vertical="center" shrinkToFit="1"/>
    </xf>
    <xf numFmtId="49" fontId="96" fillId="25" borderId="77" xfId="70" applyNumberFormat="1" applyFont="1" applyFill="1" applyProtection="1">
      <alignment horizontal="center" vertical="center"/>
    </xf>
    <xf numFmtId="49" fontId="96" fillId="25" borderId="78" xfId="71" applyNumberFormat="1" applyFont="1" applyFill="1" applyBorder="1" applyProtection="1">
      <alignment horizontal="center" vertical="center" wrapText="1"/>
    </xf>
    <xf numFmtId="4" fontId="88" fillId="25" borderId="106" xfId="72" applyNumberFormat="1" applyFont="1" applyFill="1" applyBorder="1" applyProtection="1">
      <alignment horizontal="center" vertical="center" shrinkToFit="1"/>
    </xf>
    <xf numFmtId="4" fontId="88" fillId="25" borderId="127" xfId="72" applyNumberFormat="1" applyFont="1" applyFill="1" applyBorder="1" applyProtection="1">
      <alignment horizontal="center" vertical="center" shrinkToFit="1"/>
    </xf>
    <xf numFmtId="4" fontId="99" fillId="25" borderId="107" xfId="73" applyNumberFormat="1" applyFont="1" applyFill="1" applyBorder="1" applyProtection="1">
      <alignment horizontal="center" vertical="center" shrinkToFit="1"/>
    </xf>
    <xf numFmtId="4" fontId="99" fillId="25" borderId="108" xfId="73" applyNumberFormat="1" applyFont="1" applyFill="1" applyBorder="1" applyProtection="1">
      <alignment horizontal="center" vertical="center" shrinkToFit="1"/>
    </xf>
    <xf numFmtId="4" fontId="99" fillId="25" borderId="119" xfId="73" applyNumberFormat="1" applyFont="1" applyFill="1" applyBorder="1" applyProtection="1">
      <alignment horizontal="center" vertical="center" shrinkToFit="1"/>
    </xf>
    <xf numFmtId="4" fontId="99" fillId="25" borderId="129" xfId="73" applyNumberFormat="1" applyFont="1" applyFill="1" applyBorder="1" applyProtection="1">
      <alignment horizontal="center" vertical="center" shrinkToFit="1"/>
    </xf>
    <xf numFmtId="0" fontId="91" fillId="25" borderId="94" xfId="25" applyNumberFormat="1" applyFont="1" applyFill="1" applyBorder="1" applyProtection="1">
      <alignment horizontal="left" vertical="center" wrapText="1"/>
    </xf>
    <xf numFmtId="49" fontId="88" fillId="25" borderId="77" xfId="83" applyNumberFormat="1" applyFont="1" applyFill="1" applyProtection="1">
      <alignment horizontal="center" vertical="center"/>
    </xf>
    <xf numFmtId="49" fontId="88" fillId="25" borderId="78" xfId="83" applyNumberFormat="1" applyFont="1" applyFill="1" applyBorder="1" applyProtection="1">
      <alignment horizontal="center" vertical="center"/>
    </xf>
    <xf numFmtId="4" fontId="88" fillId="25" borderId="113" xfId="72" applyNumberFormat="1" applyFont="1" applyFill="1" applyBorder="1" applyProtection="1">
      <alignment horizontal="center" vertical="center" shrinkToFit="1"/>
    </xf>
    <xf numFmtId="4" fontId="88" fillId="25" borderId="125" xfId="72" applyNumberFormat="1" applyFont="1" applyFill="1" applyBorder="1" applyProtection="1">
      <alignment horizontal="center" vertical="center" shrinkToFit="1"/>
    </xf>
    <xf numFmtId="4" fontId="99" fillId="25" borderId="77" xfId="73" applyNumberFormat="1" applyFont="1" applyFill="1" applyBorder="1" applyProtection="1">
      <alignment horizontal="center" vertical="center" shrinkToFit="1"/>
    </xf>
    <xf numFmtId="4" fontId="99" fillId="25" borderId="112" xfId="73" applyNumberFormat="1" applyFont="1" applyFill="1" applyBorder="1" applyProtection="1">
      <alignment horizontal="center" vertical="center" shrinkToFit="1"/>
    </xf>
    <xf numFmtId="4" fontId="99" fillId="25" borderId="113" xfId="73" applyNumberFormat="1" applyFont="1" applyFill="1" applyBorder="1" applyProtection="1">
      <alignment horizontal="center" vertical="center" shrinkToFit="1"/>
    </xf>
    <xf numFmtId="4" fontId="99" fillId="25" borderId="125" xfId="73" applyNumberFormat="1" applyFont="1" applyFill="1" applyBorder="1" applyProtection="1">
      <alignment horizontal="center" vertical="center" shrinkToFit="1"/>
    </xf>
    <xf numFmtId="4" fontId="99" fillId="25" borderId="96" xfId="73" applyNumberFormat="1" applyFont="1" applyFill="1" applyBorder="1" applyProtection="1">
      <alignment horizontal="center" vertical="center" shrinkToFit="1"/>
    </xf>
    <xf numFmtId="49" fontId="89" fillId="0" borderId="94" xfId="12" applyNumberFormat="1" applyFont="1" applyFill="1" applyBorder="1" applyAlignment="1" applyProtection="1">
      <alignment horizontal="left" vertical="center" wrapText="1" indent="3"/>
    </xf>
    <xf numFmtId="49" fontId="96" fillId="25" borderId="94" xfId="16" applyNumberFormat="1" applyFont="1" applyFill="1" applyBorder="1" applyProtection="1">
      <alignment horizontal="left" vertical="center" wrapText="1"/>
    </xf>
    <xf numFmtId="49" fontId="96" fillId="25" borderId="77" xfId="71" applyNumberFormat="1" applyFont="1" applyFill="1" applyProtection="1">
      <alignment horizontal="center" vertical="center" wrapText="1"/>
    </xf>
    <xf numFmtId="49" fontId="97" fillId="0" borderId="94" xfId="20" applyNumberFormat="1" applyFont="1" applyFill="1" applyBorder="1" applyProtection="1">
      <alignment horizontal="left" vertical="center" wrapText="1"/>
    </xf>
    <xf numFmtId="4" fontId="88" fillId="25" borderId="113" xfId="72" applyNumberFormat="1" applyFill="1" applyBorder="1" applyProtection="1">
      <alignment horizontal="center" vertical="center" shrinkToFit="1"/>
    </xf>
    <xf numFmtId="4" fontId="88" fillId="25" borderId="77" xfId="72" applyNumberFormat="1" applyFill="1" applyBorder="1" applyProtection="1">
      <alignment horizontal="center" vertical="center" shrinkToFit="1"/>
    </xf>
    <xf numFmtId="0" fontId="93" fillId="25" borderId="77" xfId="107" applyNumberFormat="1" applyFill="1" applyBorder="1" applyProtection="1">
      <alignment horizontal="center" vertical="center" shrinkToFit="1"/>
    </xf>
    <xf numFmtId="4" fontId="99" fillId="25" borderId="17" xfId="107" applyNumberFormat="1" applyFont="1" applyFill="1" applyBorder="1" applyProtection="1">
      <alignment horizontal="center" vertical="center" shrinkToFit="1"/>
    </xf>
    <xf numFmtId="4" fontId="99" fillId="25" borderId="1" xfId="107" applyNumberFormat="1" applyFont="1" applyFill="1" applyBorder="1" applyProtection="1">
      <alignment horizontal="center" vertical="center" shrinkToFit="1"/>
    </xf>
    <xf numFmtId="49" fontId="89" fillId="0" borderId="94" xfId="26" applyNumberFormat="1" applyFont="1" applyFill="1" applyBorder="1" applyProtection="1">
      <alignment horizontal="left" vertical="center" wrapText="1"/>
    </xf>
    <xf numFmtId="49" fontId="91" fillId="0" borderId="95" xfId="15" applyNumberFormat="1" applyFont="1" applyFill="1" applyBorder="1" applyProtection="1">
      <alignment horizontal="left" vertical="center" wrapText="1"/>
    </xf>
    <xf numFmtId="49" fontId="91" fillId="0" borderId="101" xfId="15" applyNumberFormat="1" applyFont="1" applyFill="1" applyBorder="1" applyProtection="1">
      <alignment horizontal="left" vertical="center" wrapText="1"/>
    </xf>
    <xf numFmtId="4" fontId="11" fillId="25" borderId="1" xfId="0" applyNumberFormat="1" applyFont="1" applyFill="1" applyBorder="1"/>
    <xf numFmtId="4" fontId="11" fillId="0" borderId="1" xfId="0" applyNumberFormat="1" applyFont="1" applyFill="1" applyBorder="1"/>
    <xf numFmtId="4" fontId="1" fillId="0" borderId="1" xfId="0" applyNumberFormat="1" applyFont="1" applyFill="1" applyBorder="1"/>
    <xf numFmtId="4" fontId="1" fillId="0" borderId="1" xfId="0" applyNumberFormat="1" applyFont="1" applyFill="1" applyBorder="1" applyAlignment="1">
      <alignment horizontal="center"/>
    </xf>
    <xf numFmtId="4" fontId="101" fillId="0" borderId="1" xfId="0" applyNumberFormat="1" applyFont="1" applyFill="1" applyBorder="1" applyAlignment="1">
      <alignment horizontal="center"/>
    </xf>
    <xf numFmtId="4" fontId="1" fillId="25" borderId="1" xfId="0" applyNumberFormat="1" applyFont="1" applyFill="1" applyBorder="1"/>
    <xf numFmtId="4" fontId="1" fillId="25" borderId="1" xfId="0" applyNumberFormat="1" applyFont="1" applyFill="1" applyBorder="1" applyAlignment="1">
      <alignment horizontal="center"/>
    </xf>
    <xf numFmtId="4" fontId="1" fillId="0" borderId="1" xfId="0" applyNumberFormat="1" applyFont="1" applyBorder="1"/>
    <xf numFmtId="4" fontId="1" fillId="0" borderId="1" xfId="0" applyNumberFormat="1" applyFont="1" applyBorder="1" applyAlignment="1">
      <alignment horizontal="center"/>
    </xf>
    <xf numFmtId="49" fontId="96" fillId="25" borderId="1" xfId="70" applyNumberFormat="1" applyFont="1" applyFill="1" applyBorder="1" applyProtection="1">
      <alignment horizontal="center" vertical="center"/>
    </xf>
    <xf numFmtId="49" fontId="96" fillId="25" borderId="1" xfId="71" applyNumberFormat="1" applyFont="1" applyFill="1" applyBorder="1" applyProtection="1">
      <alignment horizontal="center" vertical="center" wrapText="1"/>
    </xf>
    <xf numFmtId="49" fontId="88" fillId="0" borderId="1" xfId="80" applyNumberFormat="1" applyFont="1" applyBorder="1" applyProtection="1">
      <alignment horizontal="center" vertical="center"/>
    </xf>
    <xf numFmtId="49" fontId="88" fillId="0" borderId="1" xfId="83" applyNumberFormat="1" applyFont="1" applyFill="1" applyBorder="1" applyProtection="1">
      <alignment horizontal="center" vertical="center"/>
    </xf>
    <xf numFmtId="49" fontId="88" fillId="25" borderId="1" xfId="83" applyNumberFormat="1" applyFont="1" applyFill="1" applyBorder="1" applyProtection="1">
      <alignment horizontal="center" vertical="center"/>
    </xf>
    <xf numFmtId="49" fontId="88" fillId="0" borderId="1" xfId="84" applyNumberFormat="1" applyFont="1" applyBorder="1" applyProtection="1">
      <alignment horizontal="center" vertical="center" wrapText="1"/>
    </xf>
    <xf numFmtId="49" fontId="88" fillId="0" borderId="1" xfId="85" applyNumberFormat="1" applyFont="1" applyFill="1" applyBorder="1" applyProtection="1">
      <alignment horizontal="center" vertical="center" wrapText="1"/>
    </xf>
    <xf numFmtId="4" fontId="1" fillId="0" borderId="1" xfId="0" quotePrefix="1" applyNumberFormat="1" applyFont="1" applyFill="1" applyBorder="1"/>
    <xf numFmtId="49" fontId="88" fillId="0" borderId="1" xfId="83" applyNumberFormat="1" applyFont="1" applyBorder="1" applyProtection="1">
      <alignment horizontal="center" vertical="center"/>
    </xf>
    <xf numFmtId="0" fontId="88" fillId="0" borderId="1" xfId="99" applyNumberFormat="1" applyFont="1" applyBorder="1" applyProtection="1">
      <alignment horizontal="center" vertical="center"/>
    </xf>
    <xf numFmtId="49" fontId="88" fillId="0" borderId="1" xfId="85" applyNumberFormat="1" applyFont="1" applyBorder="1" applyProtection="1">
      <alignment horizontal="center" vertical="center" wrapText="1"/>
    </xf>
    <xf numFmtId="49" fontId="96" fillId="0" borderId="1" xfId="70" applyNumberFormat="1" applyFont="1" applyBorder="1" applyProtection="1">
      <alignment horizontal="center" vertical="center"/>
    </xf>
    <xf numFmtId="49" fontId="96" fillId="0" borderId="1" xfId="71" applyNumberFormat="1" applyFont="1" applyBorder="1" applyProtection="1">
      <alignment horizontal="center" vertical="center" wrapText="1"/>
    </xf>
    <xf numFmtId="4" fontId="101" fillId="0" borderId="1" xfId="0" applyNumberFormat="1" applyFont="1" applyBorder="1"/>
    <xf numFmtId="4" fontId="93" fillId="0" borderId="107" xfId="107" applyNumberFormat="1" applyBorder="1" applyProtection="1">
      <alignment horizontal="center" vertical="center" shrinkToFit="1"/>
    </xf>
    <xf numFmtId="4" fontId="93" fillId="0" borderId="99" xfId="111" applyNumberFormat="1" applyBorder="1" applyProtection="1">
      <alignment horizontal="center" vertical="center" shrinkToFit="1"/>
    </xf>
    <xf numFmtId="4" fontId="93" fillId="0" borderId="77" xfId="107" applyNumberFormat="1" applyBorder="1" applyProtection="1">
      <alignment horizontal="center" vertical="center" shrinkToFit="1"/>
    </xf>
    <xf numFmtId="4" fontId="93" fillId="0" borderId="117" xfId="107" applyNumberFormat="1" applyBorder="1" applyProtection="1">
      <alignment horizontal="center" vertical="center" shrinkToFit="1"/>
    </xf>
    <xf numFmtId="49" fontId="95" fillId="0" borderId="99" xfId="80" applyNumberFormat="1" applyFont="1" applyProtection="1">
      <alignment horizontal="center" vertical="center"/>
    </xf>
    <xf numFmtId="49" fontId="95" fillId="0" borderId="91" xfId="80" applyNumberFormat="1" applyFont="1" applyBorder="1" applyProtection="1">
      <alignment horizontal="center" vertical="center"/>
    </xf>
    <xf numFmtId="49" fontId="95" fillId="0" borderId="77" xfId="83" applyNumberFormat="1" applyFont="1" applyFill="1" applyProtection="1">
      <alignment horizontal="center" vertical="center"/>
    </xf>
    <xf numFmtId="49" fontId="95" fillId="0" borderId="78" xfId="83" applyNumberFormat="1" applyFont="1" applyFill="1" applyBorder="1" applyProtection="1">
      <alignment horizontal="center" vertical="center"/>
    </xf>
    <xf numFmtId="49" fontId="95" fillId="0" borderId="99" xfId="84" applyNumberFormat="1" applyFont="1" applyProtection="1">
      <alignment horizontal="center" vertical="center" wrapText="1"/>
    </xf>
    <xf numFmtId="49" fontId="95" fillId="0" borderId="77" xfId="85" applyNumberFormat="1" applyFont="1" applyFill="1" applyProtection="1">
      <alignment horizontal="center" vertical="center" wrapText="1"/>
    </xf>
    <xf numFmtId="49" fontId="102" fillId="0" borderId="77" xfId="70" applyNumberFormat="1" applyFont="1" applyProtection="1">
      <alignment horizontal="center" vertical="center"/>
    </xf>
    <xf numFmtId="49" fontId="102" fillId="0" borderId="78" xfId="71" applyNumberFormat="1" applyFont="1" applyBorder="1" applyProtection="1">
      <alignment horizontal="center" vertical="center" wrapText="1"/>
    </xf>
    <xf numFmtId="49" fontId="95" fillId="0" borderId="77" xfId="83" applyNumberFormat="1" applyFont="1" applyProtection="1">
      <alignment horizontal="center" vertical="center"/>
    </xf>
    <xf numFmtId="49" fontId="95" fillId="0" borderId="78" xfId="85" applyNumberFormat="1" applyFont="1" applyBorder="1" applyProtection="1">
      <alignment horizontal="center" vertical="center" wrapText="1"/>
    </xf>
    <xf numFmtId="49" fontId="95" fillId="0" borderId="91" xfId="84" applyNumberFormat="1" applyFont="1" applyBorder="1" applyProtection="1">
      <alignment horizontal="center" vertical="center" wrapText="1"/>
    </xf>
    <xf numFmtId="49" fontId="102" fillId="0" borderId="77" xfId="71" applyNumberFormat="1" applyFont="1" applyProtection="1">
      <alignment horizontal="center" vertical="center" wrapText="1"/>
    </xf>
    <xf numFmtId="49" fontId="95" fillId="0" borderId="96" xfId="83" applyNumberFormat="1" applyFont="1" applyBorder="1" applyProtection="1">
      <alignment horizontal="center" vertical="center"/>
    </xf>
    <xf numFmtId="49" fontId="95" fillId="0" borderId="97" xfId="85" applyNumberFormat="1" applyFont="1" applyBorder="1" applyProtection="1">
      <alignment horizontal="center" vertical="center" wrapText="1"/>
    </xf>
    <xf numFmtId="49" fontId="95" fillId="0" borderId="102" xfId="83" applyNumberFormat="1" applyFont="1" applyBorder="1" applyProtection="1">
      <alignment horizontal="center" vertical="center"/>
    </xf>
    <xf numFmtId="49" fontId="95" fillId="0" borderId="122" xfId="85" applyNumberFormat="1" applyFont="1" applyBorder="1" applyProtection="1">
      <alignment horizontal="center" vertical="center" wrapText="1"/>
    </xf>
    <xf numFmtId="4" fontId="44" fillId="0" borderId="0" xfId="0" applyNumberFormat="1" applyFont="1" applyFill="1" applyBorder="1"/>
    <xf numFmtId="4" fontId="44" fillId="0" borderId="0" xfId="0" applyNumberFormat="1" applyFont="1" applyFill="1" applyBorder="1" applyAlignment="1">
      <alignment horizontal="center"/>
    </xf>
    <xf numFmtId="0" fontId="44" fillId="0" borderId="0" xfId="0" applyFont="1" applyFill="1" applyBorder="1"/>
    <xf numFmtId="49" fontId="95" fillId="0" borderId="0" xfId="83" applyNumberFormat="1" applyFont="1" applyBorder="1" applyProtection="1">
      <alignment horizontal="center" vertical="center"/>
    </xf>
    <xf numFmtId="49" fontId="95" fillId="0" borderId="0" xfId="85" applyNumberFormat="1" applyFont="1" applyBorder="1" applyProtection="1">
      <alignment horizontal="center" vertical="center" wrapText="1"/>
    </xf>
    <xf numFmtId="4" fontId="1" fillId="0" borderId="65" xfId="0" applyNumberFormat="1" applyFont="1" applyFill="1" applyBorder="1"/>
    <xf numFmtId="4" fontId="1" fillId="0" borderId="70" xfId="0" applyNumberFormat="1" applyFont="1" applyFill="1" applyBorder="1"/>
    <xf numFmtId="4" fontId="1" fillId="0" borderId="44" xfId="0" applyNumberFormat="1" applyFont="1" applyFill="1" applyBorder="1"/>
    <xf numFmtId="4" fontId="1" fillId="0" borderId="7" xfId="0" applyNumberFormat="1" applyFont="1" applyFill="1" applyBorder="1"/>
    <xf numFmtId="4" fontId="1" fillId="0" borderId="32" xfId="0" applyNumberFormat="1" applyFont="1" applyFill="1" applyBorder="1"/>
    <xf numFmtId="4" fontId="1" fillId="0" borderId="16" xfId="0" applyNumberFormat="1" applyFont="1" applyFill="1" applyBorder="1"/>
    <xf numFmtId="4" fontId="1" fillId="0" borderId="17" xfId="0" applyNumberFormat="1" applyFont="1" applyFill="1" applyBorder="1"/>
    <xf numFmtId="4" fontId="1" fillId="0" borderId="9" xfId="0" applyNumberFormat="1" applyFont="1" applyFill="1" applyBorder="1"/>
    <xf numFmtId="4" fontId="1" fillId="0" borderId="31" xfId="0" applyNumberFormat="1" applyFont="1" applyFill="1" applyBorder="1"/>
    <xf numFmtId="4" fontId="1" fillId="0" borderId="12" xfId="0" applyNumberFormat="1" applyFont="1" applyFill="1" applyBorder="1"/>
    <xf numFmtId="4" fontId="1" fillId="0" borderId="17" xfId="0" applyNumberFormat="1" applyFont="1" applyFill="1" applyBorder="1" applyAlignment="1">
      <alignment horizontal="center"/>
    </xf>
    <xf numFmtId="4" fontId="1" fillId="0" borderId="7"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xf numFmtId="4" fontId="2" fillId="0" borderId="1" xfId="0" applyNumberFormat="1" applyFont="1" applyBorder="1"/>
    <xf numFmtId="4" fontId="93" fillId="0" borderId="131" xfId="107" applyNumberFormat="1" applyBorder="1" applyProtection="1">
      <alignment horizontal="center" vertical="center" shrinkToFit="1"/>
    </xf>
    <xf numFmtId="4" fontId="93" fillId="0" borderId="91" xfId="111" applyNumberFormat="1" applyBorder="1" applyProtection="1">
      <alignment horizontal="center" vertical="center" shrinkToFit="1"/>
    </xf>
    <xf numFmtId="4" fontId="93" fillId="0" borderId="78" xfId="107" applyNumberFormat="1" applyBorder="1" applyProtection="1">
      <alignment horizontal="center" vertical="center" shrinkToFit="1"/>
    </xf>
    <xf numFmtId="49" fontId="103" fillId="0" borderId="132" xfId="107" applyNumberFormat="1" applyFont="1" applyBorder="1" applyProtection="1">
      <alignment horizontal="center" vertical="center" shrinkToFit="1"/>
    </xf>
    <xf numFmtId="4" fontId="18" fillId="24" borderId="17" xfId="0" applyNumberFormat="1" applyFont="1" applyFill="1" applyBorder="1"/>
    <xf numFmtId="4" fontId="18" fillId="24" borderId="5" xfId="0" applyNumberFormat="1" applyFont="1" applyFill="1" applyBorder="1"/>
    <xf numFmtId="4" fontId="18" fillId="24" borderId="16" xfId="0" applyNumberFormat="1" applyFont="1" applyFill="1" applyBorder="1"/>
    <xf numFmtId="4" fontId="2" fillId="24" borderId="41" xfId="0" applyNumberFormat="1" applyFont="1" applyFill="1" applyBorder="1" applyAlignment="1">
      <alignment horizontal="right"/>
    </xf>
    <xf numFmtId="1" fontId="2" fillId="24" borderId="41" xfId="0" applyNumberFormat="1" applyFont="1" applyFill="1" applyBorder="1" applyAlignment="1">
      <alignment horizontal="center"/>
    </xf>
    <xf numFmtId="0" fontId="2" fillId="24" borderId="1" xfId="0" applyFont="1" applyFill="1" applyBorder="1"/>
    <xf numFmtId="4" fontId="2" fillId="24" borderId="1" xfId="0" applyNumberFormat="1" applyFont="1" applyFill="1" applyBorder="1"/>
    <xf numFmtId="49" fontId="96" fillId="24" borderId="1" xfId="70" applyNumberFormat="1" applyFont="1" applyFill="1" applyBorder="1" applyProtection="1">
      <alignment horizontal="center" vertical="center"/>
    </xf>
    <xf numFmtId="49" fontId="88" fillId="24" borderId="1" xfId="83" applyNumberFormat="1" applyFont="1" applyFill="1" applyBorder="1" applyProtection="1">
      <alignment horizontal="center" vertical="center"/>
    </xf>
    <xf numFmtId="0" fontId="2" fillId="24" borderId="1" xfId="0" applyFont="1" applyFill="1" applyBorder="1" applyAlignment="1">
      <alignment horizontal="center"/>
    </xf>
    <xf numFmtId="0" fontId="2" fillId="0" borderId="1" xfId="0" applyFont="1" applyBorder="1" applyAlignment="1">
      <alignment horizontal="center"/>
    </xf>
    <xf numFmtId="49" fontId="102" fillId="24" borderId="77" xfId="70" applyNumberFormat="1" applyFont="1" applyFill="1" applyProtection="1">
      <alignment horizontal="center" vertical="center"/>
    </xf>
    <xf numFmtId="49" fontId="102" fillId="24" borderId="78" xfId="71" applyNumberFormat="1" applyFont="1" applyFill="1" applyBorder="1" applyProtection="1">
      <alignment horizontal="center" vertical="center" wrapText="1"/>
    </xf>
    <xf numFmtId="4" fontId="11" fillId="24" borderId="17" xfId="0" applyNumberFormat="1" applyFont="1" applyFill="1" applyBorder="1"/>
    <xf numFmtId="4" fontId="11" fillId="24" borderId="1" xfId="0" applyNumberFormat="1" applyFont="1" applyFill="1" applyBorder="1"/>
    <xf numFmtId="4" fontId="11" fillId="24" borderId="16" xfId="0" applyNumberFormat="1" applyFont="1" applyFill="1" applyBorder="1"/>
    <xf numFmtId="49" fontId="95" fillId="24" borderId="77" xfId="83" applyNumberFormat="1" applyFont="1" applyFill="1" applyProtection="1">
      <alignment horizontal="center" vertical="center"/>
    </xf>
    <xf numFmtId="49" fontId="95" fillId="24" borderId="78" xfId="83" applyNumberFormat="1" applyFont="1" applyFill="1" applyBorder="1" applyProtection="1">
      <alignment horizontal="center" vertical="center"/>
    </xf>
    <xf numFmtId="4" fontId="1" fillId="24" borderId="65" xfId="0" applyNumberFormat="1" applyFont="1" applyFill="1" applyBorder="1"/>
    <xf numFmtId="4" fontId="1" fillId="24" borderId="1" xfId="0" applyNumberFormat="1" applyFont="1" applyFill="1" applyBorder="1"/>
    <xf numFmtId="4" fontId="1" fillId="24" borderId="70" xfId="0" applyNumberFormat="1" applyFont="1" applyFill="1" applyBorder="1"/>
    <xf numFmtId="4" fontId="1" fillId="24" borderId="31" xfId="0" applyNumberFormat="1" applyFont="1" applyFill="1" applyBorder="1"/>
    <xf numFmtId="4" fontId="1" fillId="24" borderId="9" xfId="0" applyNumberFormat="1" applyFont="1" applyFill="1" applyBorder="1"/>
    <xf numFmtId="4" fontId="1" fillId="24" borderId="17" xfId="0" applyNumberFormat="1" applyFont="1" applyFill="1" applyBorder="1"/>
    <xf numFmtId="4" fontId="1" fillId="24" borderId="1" xfId="0" applyNumberFormat="1" applyFont="1" applyFill="1" applyBorder="1" applyAlignment="1">
      <alignment horizontal="center"/>
    </xf>
    <xf numFmtId="4" fontId="1" fillId="24" borderId="16" xfId="0" applyNumberFormat="1" applyFont="1" applyFill="1" applyBorder="1"/>
    <xf numFmtId="4" fontId="1" fillId="24" borderId="16" xfId="0" applyNumberFormat="1" applyFont="1" applyFill="1" applyBorder="1" applyAlignment="1">
      <alignment horizontal="center"/>
    </xf>
    <xf numFmtId="4" fontId="1" fillId="24" borderId="17" xfId="0" applyNumberFormat="1" applyFont="1" applyFill="1" applyBorder="1" applyAlignment="1">
      <alignment horizontal="center"/>
    </xf>
    <xf numFmtId="4" fontId="1" fillId="24" borderId="2" xfId="0" applyNumberFormat="1" applyFont="1" applyFill="1" applyBorder="1"/>
    <xf numFmtId="4" fontId="1" fillId="24" borderId="2" xfId="0" applyNumberFormat="1" applyFont="1" applyFill="1" applyBorder="1" applyAlignment="1">
      <alignment horizontal="center"/>
    </xf>
    <xf numFmtId="4" fontId="1" fillId="24" borderId="63" xfId="0" applyNumberFormat="1" applyFont="1" applyFill="1" applyBorder="1"/>
    <xf numFmtId="4" fontId="1" fillId="24" borderId="40" xfId="0" applyNumberFormat="1" applyFont="1" applyFill="1" applyBorder="1" applyAlignment="1">
      <alignment horizontal="center"/>
    </xf>
    <xf numFmtId="4" fontId="2" fillId="0" borderId="1" xfId="0" applyNumberFormat="1" applyFont="1" applyBorder="1" applyAlignment="1">
      <alignment horizontal="center"/>
    </xf>
    <xf numFmtId="4" fontId="1" fillId="0" borderId="46" xfId="0" applyNumberFormat="1" applyFont="1" applyFill="1" applyBorder="1"/>
    <xf numFmtId="4" fontId="1" fillId="0" borderId="24" xfId="0" applyNumberFormat="1" applyFont="1" applyFill="1" applyBorder="1" applyAlignment="1">
      <alignment horizontal="center"/>
    </xf>
    <xf numFmtId="4" fontId="1" fillId="0" borderId="36" xfId="0" applyNumberFormat="1" applyFont="1" applyFill="1" applyBorder="1"/>
    <xf numFmtId="0" fontId="11" fillId="0" borderId="17" xfId="0" applyFont="1" applyFill="1" applyBorder="1"/>
    <xf numFmtId="0" fontId="1" fillId="0" borderId="47" xfId="0" applyFont="1" applyFill="1" applyBorder="1"/>
    <xf numFmtId="4" fontId="1" fillId="0" borderId="37" xfId="0" applyNumberFormat="1" applyFont="1" applyFill="1" applyBorder="1" applyAlignment="1">
      <alignment horizontal="center"/>
    </xf>
    <xf numFmtId="4" fontId="1" fillId="0" borderId="38" xfId="0" applyNumberFormat="1" applyFont="1" applyFill="1" applyBorder="1"/>
    <xf numFmtId="4" fontId="1" fillId="0" borderId="24" xfId="0" applyNumberFormat="1" applyFont="1" applyFill="1" applyBorder="1"/>
    <xf numFmtId="4" fontId="1" fillId="24" borderId="40" xfId="0" applyNumberFormat="1" applyFont="1" applyFill="1" applyBorder="1"/>
    <xf numFmtId="4" fontId="1" fillId="0" borderId="47" xfId="0" applyNumberFormat="1" applyFont="1" applyFill="1" applyBorder="1"/>
    <xf numFmtId="4" fontId="1" fillId="0" borderId="37" xfId="0" applyNumberFormat="1" applyFont="1" applyFill="1" applyBorder="1"/>
    <xf numFmtId="4" fontId="1" fillId="0" borderId="46" xfId="0" applyNumberFormat="1" applyFont="1" applyFill="1" applyBorder="1" applyAlignment="1">
      <alignment horizontal="center"/>
    </xf>
    <xf numFmtId="4" fontId="1" fillId="0" borderId="47" xfId="0" applyNumberFormat="1" applyFont="1" applyFill="1" applyBorder="1" applyAlignment="1">
      <alignment horizontal="center"/>
    </xf>
    <xf numFmtId="0" fontId="2" fillId="24" borderId="17" xfId="0" applyFont="1" applyFill="1" applyBorder="1" applyAlignment="1">
      <alignment horizontal="center"/>
    </xf>
    <xf numFmtId="0" fontId="2" fillId="0" borderId="17" xfId="0" applyFont="1" applyBorder="1" applyAlignment="1">
      <alignment horizontal="center"/>
    </xf>
    <xf numFmtId="0" fontId="2" fillId="0" borderId="17" xfId="0" applyFont="1" applyFill="1" applyBorder="1" applyAlignment="1">
      <alignment horizontal="center"/>
    </xf>
    <xf numFmtId="0" fontId="0" fillId="5" borderId="12" xfId="0" applyFill="1" applyBorder="1"/>
    <xf numFmtId="0" fontId="0" fillId="5" borderId="9" xfId="0" applyFill="1" applyBorder="1" applyAlignment="1">
      <alignment horizontal="center"/>
    </xf>
    <xf numFmtId="0" fontId="0" fillId="5" borderId="31" xfId="0" applyFill="1" applyBorder="1" applyAlignment="1">
      <alignment horizontal="center"/>
    </xf>
    <xf numFmtId="49" fontId="96" fillId="24" borderId="3" xfId="71" applyNumberFormat="1" applyFont="1" applyFill="1" applyBorder="1" applyProtection="1">
      <alignment horizontal="center" vertical="center" wrapText="1"/>
    </xf>
    <xf numFmtId="49" fontId="88" fillId="0" borderId="3" xfId="80" applyNumberFormat="1" applyFont="1" applyBorder="1" applyProtection="1">
      <alignment horizontal="center" vertical="center"/>
    </xf>
    <xf numFmtId="49" fontId="88" fillId="0" borderId="3" xfId="83" applyNumberFormat="1" applyFont="1" applyFill="1" applyBorder="1" applyProtection="1">
      <alignment horizontal="center" vertical="center"/>
    </xf>
    <xf numFmtId="49" fontId="88" fillId="24" borderId="3" xfId="83" applyNumberFormat="1" applyFont="1" applyFill="1" applyBorder="1" applyProtection="1">
      <alignment horizontal="center" vertical="center"/>
    </xf>
    <xf numFmtId="49" fontId="96" fillId="0" borderId="3" xfId="71" applyNumberFormat="1" applyFont="1" applyBorder="1" applyProtection="1">
      <alignment horizontal="center" vertical="center" wrapText="1"/>
    </xf>
    <xf numFmtId="49" fontId="88" fillId="0" borderId="3" xfId="85" applyNumberFormat="1" applyFont="1" applyBorder="1" applyProtection="1">
      <alignment horizontal="center" vertical="center" wrapText="1"/>
    </xf>
    <xf numFmtId="49" fontId="88" fillId="0" borderId="3" xfId="84" applyNumberFormat="1" applyFont="1" applyBorder="1" applyProtection="1">
      <alignment horizontal="center" vertical="center" wrapText="1"/>
    </xf>
    <xf numFmtId="49" fontId="96" fillId="25" borderId="3" xfId="71" applyNumberFormat="1" applyFont="1" applyFill="1" applyBorder="1" applyProtection="1">
      <alignment horizontal="center" vertical="center" wrapText="1"/>
    </xf>
    <xf numFmtId="0" fontId="2" fillId="24" borderId="5" xfId="0" applyFont="1" applyFill="1" applyBorder="1" applyAlignment="1">
      <alignment horizontal="center"/>
    </xf>
    <xf numFmtId="0" fontId="2" fillId="24" borderId="16" xfId="0" applyFont="1" applyFill="1" applyBorder="1"/>
    <xf numFmtId="0" fontId="2" fillId="0" borderId="16" xfId="0" applyFont="1" applyBorder="1"/>
    <xf numFmtId="0" fontId="2" fillId="0" borderId="37" xfId="0" applyFont="1" applyBorder="1"/>
    <xf numFmtId="0" fontId="2" fillId="0" borderId="38" xfId="0" applyFont="1" applyBorder="1"/>
    <xf numFmtId="4" fontId="2" fillId="24" borderId="17" xfId="0" applyNumberFormat="1" applyFont="1" applyFill="1" applyBorder="1"/>
    <xf numFmtId="4" fontId="2" fillId="24" borderId="16" xfId="0" applyNumberFormat="1" applyFont="1" applyFill="1" applyBorder="1"/>
    <xf numFmtId="4" fontId="2" fillId="0" borderId="17" xfId="0" applyNumberFormat="1" applyFont="1" applyBorder="1"/>
    <xf numFmtId="4" fontId="2" fillId="0" borderId="16" xfId="0" applyNumberFormat="1" applyFont="1" applyBorder="1"/>
    <xf numFmtId="4" fontId="2" fillId="0" borderId="47" xfId="0" applyNumberFormat="1" applyFont="1" applyBorder="1"/>
    <xf numFmtId="4" fontId="2" fillId="0" borderId="37" xfId="0" applyNumberFormat="1" applyFont="1" applyBorder="1"/>
    <xf numFmtId="4" fontId="2" fillId="0" borderId="38" xfId="0" applyNumberFormat="1" applyFont="1" applyBorder="1"/>
    <xf numFmtId="0" fontId="2" fillId="0" borderId="24" xfId="0" applyFont="1" applyBorder="1"/>
    <xf numFmtId="0" fontId="2" fillId="0" borderId="36" xfId="0" applyFont="1" applyBorder="1"/>
    <xf numFmtId="4" fontId="2" fillId="0" borderId="46" xfId="0" applyNumberFormat="1" applyFont="1" applyBorder="1"/>
    <xf numFmtId="4" fontId="2" fillId="0" borderId="24" xfId="0" applyNumberFormat="1" applyFont="1" applyBorder="1"/>
    <xf numFmtId="4" fontId="2" fillId="0" borderId="36" xfId="0" applyNumberFormat="1" applyFont="1" applyBorder="1"/>
    <xf numFmtId="4" fontId="2" fillId="24" borderId="17" xfId="0" applyNumberFormat="1" applyFont="1" applyFill="1" applyBorder="1" applyAlignment="1">
      <alignment horizontal="center"/>
    </xf>
    <xf numFmtId="4" fontId="2" fillId="24" borderId="1" xfId="0" applyNumberFormat="1" applyFont="1" applyFill="1" applyBorder="1" applyAlignment="1">
      <alignment horizontal="center"/>
    </xf>
    <xf numFmtId="4" fontId="2" fillId="0" borderId="17" xfId="0" applyNumberFormat="1" applyFont="1" applyBorder="1" applyAlignment="1">
      <alignment horizontal="center"/>
    </xf>
    <xf numFmtId="4" fontId="1" fillId="0" borderId="12" xfId="0" applyNumberFormat="1" applyFont="1" applyFill="1" applyBorder="1" applyAlignment="1">
      <alignment horizontal="center"/>
    </xf>
    <xf numFmtId="0" fontId="2" fillId="24" borderId="62" xfId="0" applyFont="1" applyFill="1" applyBorder="1" applyAlignment="1">
      <alignment horizontal="center"/>
    </xf>
    <xf numFmtId="4" fontId="1" fillId="0" borderId="9" xfId="0" applyNumberFormat="1" applyFont="1" applyFill="1" applyBorder="1" applyAlignment="1">
      <alignment horizontal="center"/>
    </xf>
    <xf numFmtId="49" fontId="2" fillId="24" borderId="41" xfId="0" applyNumberFormat="1" applyFont="1" applyFill="1" applyBorder="1" applyAlignment="1">
      <alignment horizontal="right"/>
    </xf>
    <xf numFmtId="4" fontId="18" fillId="24" borderId="3" xfId="0" applyNumberFormat="1" applyFont="1" applyFill="1" applyBorder="1"/>
    <xf numFmtId="49" fontId="24" fillId="24" borderId="41" xfId="0" applyNumberFormat="1" applyFont="1" applyFill="1" applyBorder="1" applyAlignment="1">
      <alignment horizontal="center"/>
    </xf>
    <xf numFmtId="4" fontId="23" fillId="24" borderId="17" xfId="0" applyNumberFormat="1" applyFont="1" applyFill="1" applyBorder="1"/>
    <xf numFmtId="49" fontId="2" fillId="24" borderId="41" xfId="0" applyNumberFormat="1" applyFont="1" applyFill="1" applyBorder="1" applyAlignment="1">
      <alignment horizontal="center"/>
    </xf>
    <xf numFmtId="4" fontId="18" fillId="24" borderId="12" xfId="0" applyNumberFormat="1" applyFont="1" applyFill="1" applyBorder="1"/>
    <xf numFmtId="1" fontId="2" fillId="24" borderId="2" xfId="0" applyNumberFormat="1" applyFont="1" applyFill="1" applyBorder="1" applyAlignment="1">
      <alignment horizontal="right"/>
    </xf>
    <xf numFmtId="4" fontId="18" fillId="24" borderId="4" xfId="0" applyNumberFormat="1" applyFont="1" applyFill="1" applyBorder="1"/>
    <xf numFmtId="4" fontId="18" fillId="24" borderId="31" xfId="0" applyNumberFormat="1" applyFont="1" applyFill="1" applyBorder="1"/>
    <xf numFmtId="4" fontId="2" fillId="0" borderId="13" xfId="0" applyNumberFormat="1" applyFont="1" applyBorder="1"/>
    <xf numFmtId="49" fontId="18" fillId="0" borderId="44" xfId="0" applyNumberFormat="1" applyFont="1" applyBorder="1" applyAlignment="1">
      <alignment horizontal="center"/>
    </xf>
    <xf numFmtId="49" fontId="18" fillId="0" borderId="13" xfId="0" applyNumberFormat="1" applyFont="1" applyBorder="1" applyAlignment="1">
      <alignment horizontal="center"/>
    </xf>
    <xf numFmtId="49" fontId="18" fillId="0" borderId="32" xfId="0" applyNumberFormat="1" applyFont="1" applyBorder="1" applyAlignment="1">
      <alignment horizontal="center"/>
    </xf>
    <xf numFmtId="49" fontId="18" fillId="0" borderId="6" xfId="0" applyNumberFormat="1" applyFont="1" applyBorder="1" applyAlignment="1">
      <alignment horizontal="center"/>
    </xf>
    <xf numFmtId="49" fontId="2" fillId="24" borderId="2" xfId="0" applyNumberFormat="1" applyFont="1" applyFill="1" applyBorder="1" applyAlignment="1">
      <alignment horizontal="right"/>
    </xf>
    <xf numFmtId="4" fontId="18" fillId="24" borderId="33" xfId="0" applyNumberFormat="1" applyFont="1" applyFill="1" applyBorder="1"/>
    <xf numFmtId="49" fontId="2" fillId="24" borderId="56" xfId="0" applyNumberFormat="1" applyFont="1" applyFill="1" applyBorder="1" applyAlignment="1">
      <alignment horizontal="right"/>
    </xf>
    <xf numFmtId="4" fontId="18" fillId="24" borderId="44" xfId="0" applyNumberFormat="1" applyFont="1" applyFill="1" applyBorder="1"/>
    <xf numFmtId="4" fontId="18" fillId="24" borderId="13" xfId="0" applyNumberFormat="1" applyFont="1" applyFill="1" applyBorder="1"/>
    <xf numFmtId="4" fontId="18" fillId="24" borderId="32" xfId="0" applyNumberFormat="1" applyFont="1" applyFill="1" applyBorder="1"/>
    <xf numFmtId="4" fontId="18" fillId="24" borderId="6" xfId="0" applyNumberFormat="1" applyFont="1" applyFill="1" applyBorder="1"/>
    <xf numFmtId="49" fontId="24" fillId="24" borderId="2" xfId="0" applyNumberFormat="1" applyFont="1" applyFill="1" applyBorder="1" applyAlignment="1">
      <alignment horizontal="center"/>
    </xf>
    <xf numFmtId="4" fontId="23" fillId="24" borderId="12" xfId="0" applyNumberFormat="1" applyFont="1" applyFill="1" applyBorder="1"/>
    <xf numFmtId="49" fontId="24" fillId="0" borderId="56" xfId="0" applyNumberFormat="1" applyFont="1" applyFill="1" applyBorder="1" applyAlignment="1">
      <alignment horizontal="right"/>
    </xf>
    <xf numFmtId="4" fontId="18" fillId="0" borderId="44" xfId="0" applyNumberFormat="1" applyFont="1" applyBorder="1"/>
    <xf numFmtId="4" fontId="18" fillId="0" borderId="13" xfId="0" applyNumberFormat="1" applyFont="1" applyBorder="1"/>
    <xf numFmtId="4" fontId="18" fillId="0" borderId="44" xfId="0" applyNumberFormat="1" applyFont="1" applyFill="1" applyBorder="1"/>
    <xf numFmtId="4" fontId="18" fillId="0" borderId="32" xfId="0" applyNumberFormat="1" applyFont="1" applyBorder="1"/>
    <xf numFmtId="4" fontId="18" fillId="0" borderId="6" xfId="0" applyNumberFormat="1" applyFont="1" applyBorder="1"/>
    <xf numFmtId="49" fontId="2" fillId="0" borderId="56" xfId="0" applyNumberFormat="1" applyFont="1" applyBorder="1" applyAlignment="1">
      <alignment horizontal="right"/>
    </xf>
    <xf numFmtId="49" fontId="11" fillId="24" borderId="138" xfId="0" applyNumberFormat="1" applyFont="1" applyFill="1" applyBorder="1" applyAlignment="1">
      <alignment horizontal="center"/>
    </xf>
    <xf numFmtId="4" fontId="21" fillId="24" borderId="139" xfId="0" applyNumberFormat="1" applyFont="1" applyFill="1" applyBorder="1"/>
    <xf numFmtId="4" fontId="18" fillId="24" borderId="140" xfId="0" applyNumberFormat="1" applyFont="1" applyFill="1" applyBorder="1"/>
    <xf numFmtId="49" fontId="2" fillId="24" borderId="0" xfId="0" applyNumberFormat="1" applyFont="1" applyFill="1" applyBorder="1" applyAlignment="1">
      <alignment horizontal="right"/>
    </xf>
    <xf numFmtId="4" fontId="18" fillId="24" borderId="15" xfId="0" applyNumberFormat="1" applyFont="1" applyFill="1" applyBorder="1"/>
    <xf numFmtId="4" fontId="18" fillId="24" borderId="19" xfId="0" applyNumberFormat="1" applyFont="1" applyFill="1" applyBorder="1"/>
    <xf numFmtId="4" fontId="18" fillId="24" borderId="71" xfId="0" applyNumberFormat="1" applyFont="1" applyFill="1" applyBorder="1"/>
    <xf numFmtId="4" fontId="18" fillId="24" borderId="14" xfId="0" applyNumberFormat="1" applyFont="1" applyFill="1" applyBorder="1"/>
    <xf numFmtId="4" fontId="18" fillId="24" borderId="136" xfId="0" applyNumberFormat="1" applyFont="1" applyFill="1" applyBorder="1"/>
    <xf numFmtId="4" fontId="18" fillId="24" borderId="137" xfId="0" applyNumberFormat="1" applyFont="1" applyFill="1" applyBorder="1"/>
    <xf numFmtId="49" fontId="2" fillId="0" borderId="2" xfId="0" applyNumberFormat="1" applyFont="1" applyBorder="1" applyAlignment="1">
      <alignment horizontal="right"/>
    </xf>
    <xf numFmtId="4" fontId="18" fillId="0" borderId="12" xfId="0" applyNumberFormat="1" applyFont="1" applyBorder="1"/>
    <xf numFmtId="4" fontId="18" fillId="0" borderId="33" xfId="0" applyNumberFormat="1" applyFont="1" applyBorder="1"/>
    <xf numFmtId="4" fontId="18" fillId="0" borderId="31" xfId="0" applyNumberFormat="1" applyFont="1" applyBorder="1"/>
    <xf numFmtId="4" fontId="18" fillId="0" borderId="4" xfId="0" applyNumberFormat="1" applyFont="1" applyBorder="1"/>
    <xf numFmtId="4" fontId="18" fillId="24" borderId="134" xfId="0" applyNumberFormat="1" applyFont="1" applyFill="1" applyBorder="1"/>
    <xf numFmtId="49" fontId="2" fillId="24" borderId="133" xfId="0" applyNumberFormat="1" applyFont="1" applyFill="1" applyBorder="1" applyAlignment="1">
      <alignment horizontal="right"/>
    </xf>
    <xf numFmtId="4" fontId="18" fillId="24" borderId="135" xfId="0" applyNumberFormat="1" applyFont="1" applyFill="1" applyBorder="1"/>
    <xf numFmtId="4" fontId="19" fillId="0" borderId="15" xfId="0" applyNumberFormat="1" applyFont="1" applyFill="1" applyBorder="1"/>
    <xf numFmtId="4" fontId="18" fillId="0" borderId="142" xfId="0" applyNumberFormat="1" applyFont="1" applyFill="1" applyBorder="1"/>
    <xf numFmtId="49" fontId="2" fillId="0" borderId="2" xfId="0" applyNumberFormat="1" applyFont="1" applyFill="1" applyBorder="1" applyAlignment="1">
      <alignment horizontal="right"/>
    </xf>
    <xf numFmtId="4" fontId="18" fillId="0" borderId="12" xfId="0" applyNumberFormat="1" applyFont="1" applyFill="1" applyBorder="1"/>
    <xf numFmtId="4" fontId="18" fillId="0" borderId="33" xfId="0" applyNumberFormat="1" applyFont="1" applyFill="1" applyBorder="1"/>
    <xf numFmtId="4" fontId="19" fillId="0" borderId="12" xfId="0" applyNumberFormat="1" applyFont="1" applyFill="1" applyBorder="1"/>
    <xf numFmtId="4" fontId="18" fillId="0" borderId="31" xfId="0" applyNumberFormat="1" applyFont="1" applyFill="1" applyBorder="1"/>
    <xf numFmtId="4" fontId="18" fillId="0" borderId="64" xfId="0" applyNumberFormat="1" applyFont="1" applyFill="1" applyBorder="1"/>
    <xf numFmtId="4" fontId="18" fillId="24" borderId="9" xfId="0" applyNumberFormat="1" applyFont="1" applyFill="1" applyBorder="1"/>
    <xf numFmtId="4" fontId="18" fillId="24" borderId="1" xfId="0" applyNumberFormat="1" applyFont="1" applyFill="1" applyBorder="1"/>
    <xf numFmtId="4" fontId="20" fillId="0" borderId="44" xfId="0" applyNumberFormat="1" applyFont="1" applyFill="1" applyBorder="1"/>
    <xf numFmtId="4" fontId="20" fillId="0" borderId="32" xfId="0" applyNumberFormat="1" applyFont="1" applyFill="1" applyBorder="1"/>
    <xf numFmtId="4" fontId="20" fillId="0" borderId="6" xfId="0" applyNumberFormat="1" applyFont="1" applyFill="1" applyBorder="1"/>
    <xf numFmtId="4" fontId="18" fillId="0" borderId="4" xfId="0" applyNumberFormat="1" applyFont="1" applyFill="1" applyBorder="1"/>
    <xf numFmtId="4" fontId="18" fillId="24" borderId="56" xfId="0" applyNumberFormat="1" applyFont="1" applyFill="1" applyBorder="1"/>
    <xf numFmtId="49" fontId="2" fillId="24" borderId="2" xfId="0" applyNumberFormat="1" applyFont="1" applyFill="1" applyBorder="1" applyAlignment="1">
      <alignment horizontal="center"/>
    </xf>
    <xf numFmtId="49" fontId="2" fillId="0" borderId="2" xfId="0" applyNumberFormat="1" applyFont="1" applyFill="1" applyBorder="1" applyAlignment="1">
      <alignment horizontal="right" wrapText="1"/>
    </xf>
    <xf numFmtId="49" fontId="16" fillId="0" borderId="2" xfId="0" applyNumberFormat="1" applyFont="1" applyFill="1" applyBorder="1" applyAlignment="1">
      <alignment horizontal="right"/>
    </xf>
    <xf numFmtId="4" fontId="19" fillId="0" borderId="33" xfId="0" applyNumberFormat="1" applyFont="1" applyFill="1" applyBorder="1"/>
    <xf numFmtId="4" fontId="19" fillId="22" borderId="12" xfId="0" applyNumberFormat="1" applyFont="1" applyFill="1" applyBorder="1"/>
    <xf numFmtId="4" fontId="19" fillId="0" borderId="31" xfId="0" applyNumberFormat="1" applyFont="1" applyFill="1" applyBorder="1"/>
    <xf numFmtId="4" fontId="19" fillId="24" borderId="9" xfId="0" applyNumberFormat="1" applyFont="1" applyFill="1" applyBorder="1"/>
    <xf numFmtId="4" fontId="19" fillId="24" borderId="1" xfId="0" applyNumberFormat="1" applyFont="1" applyFill="1" applyBorder="1"/>
    <xf numFmtId="4" fontId="19" fillId="24" borderId="17" xfId="0" applyNumberFormat="1" applyFont="1" applyFill="1" applyBorder="1"/>
    <xf numFmtId="4" fontId="19" fillId="24" borderId="3" xfId="0" applyNumberFormat="1" applyFont="1" applyFill="1" applyBorder="1"/>
    <xf numFmtId="4" fontId="19" fillId="24" borderId="16" xfId="0" applyNumberFormat="1" applyFont="1" applyFill="1" applyBorder="1"/>
    <xf numFmtId="4" fontId="18" fillId="0" borderId="15" xfId="0" applyNumberFormat="1" applyFont="1" applyBorder="1"/>
    <xf numFmtId="4" fontId="18" fillId="0" borderId="19" xfId="0" applyNumberFormat="1" applyFont="1" applyBorder="1"/>
    <xf numFmtId="4" fontId="18" fillId="0" borderId="71" xfId="0" applyNumberFormat="1" applyFont="1" applyBorder="1"/>
    <xf numFmtId="4" fontId="18" fillId="0" borderId="14" xfId="0" applyNumberFormat="1" applyFont="1" applyBorder="1"/>
    <xf numFmtId="4" fontId="104" fillId="14" borderId="17" xfId="0" applyNumberFormat="1" applyFont="1" applyFill="1" applyBorder="1" applyAlignment="1"/>
    <xf numFmtId="4" fontId="35" fillId="14" borderId="44" xfId="0" applyNumberFormat="1" applyFont="1" applyFill="1" applyBorder="1" applyAlignment="1">
      <alignment horizontal="center"/>
    </xf>
    <xf numFmtId="4" fontId="35" fillId="14" borderId="13" xfId="0" applyNumberFormat="1" applyFont="1" applyFill="1" applyBorder="1" applyAlignment="1">
      <alignment horizontal="center"/>
    </xf>
    <xf numFmtId="4" fontId="35" fillId="14" borderId="32" xfId="0" applyNumberFormat="1" applyFont="1" applyFill="1" applyBorder="1" applyAlignment="1">
      <alignment horizontal="center"/>
    </xf>
    <xf numFmtId="4" fontId="32" fillId="14" borderId="10" xfId="0" applyNumberFormat="1" applyFont="1" applyFill="1" applyBorder="1" applyAlignment="1">
      <alignment wrapText="1"/>
    </xf>
    <xf numFmtId="4" fontId="45" fillId="14" borderId="8" xfId="0" applyNumberFormat="1" applyFont="1" applyFill="1" applyBorder="1"/>
    <xf numFmtId="4" fontId="19" fillId="14" borderId="18" xfId="0" applyNumberFormat="1" applyFont="1" applyFill="1" applyBorder="1" applyAlignment="1">
      <alignment horizontal="center"/>
    </xf>
    <xf numFmtId="4" fontId="19" fillId="14" borderId="26" xfId="0" applyNumberFormat="1" applyFont="1" applyFill="1" applyBorder="1" applyAlignment="1">
      <alignment horizontal="center"/>
    </xf>
    <xf numFmtId="4" fontId="18" fillId="24" borderId="143" xfId="0" applyNumberFormat="1" applyFont="1" applyFill="1" applyBorder="1"/>
    <xf numFmtId="4" fontId="18" fillId="0" borderId="64" xfId="0" applyNumberFormat="1" applyFont="1" applyBorder="1"/>
    <xf numFmtId="4" fontId="18" fillId="24" borderId="46" xfId="0" applyNumberFormat="1" applyFont="1" applyFill="1" applyBorder="1"/>
    <xf numFmtId="4" fontId="35" fillId="7" borderId="5" xfId="0" applyNumberFormat="1" applyFont="1" applyFill="1" applyBorder="1"/>
    <xf numFmtId="4" fontId="45" fillId="14" borderId="18" xfId="0" applyNumberFormat="1" applyFont="1" applyFill="1" applyBorder="1"/>
    <xf numFmtId="4" fontId="18" fillId="24" borderId="63" xfId="0" applyNumberFormat="1" applyFont="1" applyFill="1" applyBorder="1"/>
    <xf numFmtId="4" fontId="18" fillId="24" borderId="64" xfId="0" applyNumberFormat="1" applyFont="1" applyFill="1" applyBorder="1"/>
    <xf numFmtId="4" fontId="18" fillId="0" borderId="47" xfId="0" applyNumberFormat="1" applyFont="1" applyBorder="1"/>
    <xf numFmtId="4" fontId="18" fillId="0" borderId="147" xfId="0" applyNumberFormat="1" applyFont="1" applyBorder="1"/>
    <xf numFmtId="4" fontId="18" fillId="0" borderId="38" xfId="0" applyNumberFormat="1" applyFont="1" applyBorder="1"/>
    <xf numFmtId="49" fontId="16" fillId="24" borderId="148" xfId="0" applyNumberFormat="1" applyFont="1" applyFill="1" applyBorder="1" applyAlignment="1">
      <alignment horizontal="center"/>
    </xf>
    <xf numFmtId="49" fontId="16" fillId="24" borderId="149" xfId="0" applyNumberFormat="1" applyFont="1" applyFill="1" applyBorder="1" applyAlignment="1">
      <alignment horizontal="center"/>
    </xf>
    <xf numFmtId="49" fontId="2" fillId="24" borderId="33" xfId="0" applyNumberFormat="1" applyFont="1" applyFill="1" applyBorder="1" applyAlignment="1">
      <alignment horizontal="center"/>
    </xf>
    <xf numFmtId="49" fontId="2" fillId="24" borderId="3" xfId="0" applyNumberFormat="1" applyFont="1" applyFill="1" applyBorder="1" applyAlignment="1">
      <alignment horizontal="center"/>
    </xf>
    <xf numFmtId="4" fontId="18" fillId="0" borderId="6" xfId="0" applyNumberFormat="1" applyFont="1" applyFill="1" applyBorder="1"/>
    <xf numFmtId="4" fontId="21" fillId="24" borderId="152" xfId="0" applyNumberFormat="1" applyFont="1" applyFill="1" applyBorder="1"/>
    <xf numFmtId="4" fontId="23" fillId="24" borderId="63" xfId="0" applyNumberFormat="1" applyFont="1" applyFill="1" applyBorder="1"/>
    <xf numFmtId="4" fontId="23" fillId="24" borderId="64" xfId="0" applyNumberFormat="1" applyFont="1" applyFill="1" applyBorder="1"/>
    <xf numFmtId="4" fontId="19" fillId="24" borderId="154" xfId="0" applyNumberFormat="1" applyFont="1" applyFill="1" applyBorder="1"/>
    <xf numFmtId="4" fontId="19" fillId="24" borderId="155" xfId="0" applyNumberFormat="1" applyFont="1" applyFill="1" applyBorder="1"/>
    <xf numFmtId="4" fontId="19" fillId="24" borderId="156" xfId="0" applyNumberFormat="1" applyFont="1" applyFill="1" applyBorder="1"/>
    <xf numFmtId="4" fontId="19" fillId="24" borderId="157" xfId="0" applyNumberFormat="1" applyFont="1" applyFill="1" applyBorder="1"/>
    <xf numFmtId="4" fontId="18" fillId="24" borderId="47" xfId="0" applyNumberFormat="1" applyFont="1" applyFill="1" applyBorder="1"/>
    <xf numFmtId="4" fontId="18" fillId="24" borderId="38" xfId="0" applyNumberFormat="1" applyFont="1" applyFill="1" applyBorder="1"/>
    <xf numFmtId="4" fontId="19" fillId="0" borderId="4" xfId="0" applyNumberFormat="1" applyFont="1" applyFill="1" applyBorder="1"/>
    <xf numFmtId="4" fontId="18" fillId="24" borderId="151" xfId="0" applyNumberFormat="1" applyFont="1" applyFill="1" applyBorder="1"/>
    <xf numFmtId="4" fontId="19" fillId="0" borderId="157" xfId="0" applyNumberFormat="1" applyFont="1" applyFill="1" applyBorder="1"/>
    <xf numFmtId="0" fontId="18" fillId="24" borderId="32" xfId="0" applyFont="1" applyFill="1" applyBorder="1"/>
    <xf numFmtId="0" fontId="18" fillId="24" borderId="31" xfId="0" applyFont="1" applyFill="1" applyBorder="1"/>
    <xf numFmtId="0" fontId="18" fillId="24" borderId="16" xfId="0" applyFont="1" applyFill="1" applyBorder="1"/>
    <xf numFmtId="0" fontId="18" fillId="24" borderId="38" xfId="0" applyFont="1" applyFill="1" applyBorder="1"/>
    <xf numFmtId="49" fontId="2" fillId="24" borderId="33" xfId="0" applyNumberFormat="1" applyFont="1" applyFill="1" applyBorder="1" applyAlignment="1">
      <alignment horizontal="center" wrapText="1"/>
    </xf>
    <xf numFmtId="49" fontId="2" fillId="24" borderId="3" xfId="0" applyNumberFormat="1" applyFont="1" applyFill="1" applyBorder="1" applyAlignment="1">
      <alignment horizontal="center" wrapText="1"/>
    </xf>
    <xf numFmtId="49" fontId="16" fillId="24" borderId="33" xfId="0" applyNumberFormat="1" applyFont="1" applyFill="1" applyBorder="1" applyAlignment="1">
      <alignment horizontal="center"/>
    </xf>
    <xf numFmtId="49" fontId="16" fillId="24" borderId="3" xfId="0" applyNumberFormat="1" applyFont="1" applyFill="1" applyBorder="1" applyAlignment="1">
      <alignment horizontal="center"/>
    </xf>
    <xf numFmtId="4" fontId="19" fillId="24" borderId="4" xfId="0" applyNumberFormat="1" applyFont="1" applyFill="1" applyBorder="1"/>
    <xf numFmtId="4" fontId="19" fillId="24" borderId="5" xfId="0" applyNumberFormat="1" applyFont="1" applyFill="1" applyBorder="1"/>
    <xf numFmtId="4" fontId="19" fillId="2" borderId="5" xfId="0" applyNumberFormat="1" applyFont="1" applyFill="1" applyBorder="1"/>
    <xf numFmtId="4" fontId="35" fillId="2" borderId="5" xfId="0" applyNumberFormat="1" applyFont="1" applyFill="1" applyBorder="1"/>
    <xf numFmtId="4" fontId="35" fillId="14" borderId="5" xfId="0" applyNumberFormat="1" applyFont="1" applyFill="1" applyBorder="1" applyAlignment="1">
      <alignment horizontal="center"/>
    </xf>
    <xf numFmtId="4" fontId="104" fillId="14" borderId="5" xfId="0" applyNumberFormat="1" applyFont="1" applyFill="1" applyBorder="1" applyAlignment="1"/>
    <xf numFmtId="4" fontId="19" fillId="24" borderId="12" xfId="0" applyNumberFormat="1" applyFont="1" applyFill="1" applyBorder="1"/>
    <xf numFmtId="4" fontId="19" fillId="24" borderId="31" xfId="0" applyNumberFormat="1" applyFont="1" applyFill="1" applyBorder="1"/>
    <xf numFmtId="4" fontId="35" fillId="7" borderId="22" xfId="0" applyNumberFormat="1" applyFont="1" applyFill="1" applyBorder="1"/>
    <xf numFmtId="4" fontId="18" fillId="0" borderId="22" xfId="0" applyNumberFormat="1" applyFont="1" applyBorder="1"/>
    <xf numFmtId="4" fontId="18" fillId="0" borderId="16" xfId="0" quotePrefix="1" applyNumberFormat="1" applyFont="1" applyBorder="1"/>
    <xf numFmtId="4" fontId="104" fillId="14" borderId="22" xfId="0" applyNumberFormat="1" applyFont="1" applyFill="1" applyBorder="1" applyAlignment="1"/>
    <xf numFmtId="4" fontId="18" fillId="14" borderId="47" xfId="0" applyNumberFormat="1" applyFont="1" applyFill="1" applyBorder="1"/>
    <xf numFmtId="4" fontId="18" fillId="14" borderId="38" xfId="0" applyNumberFormat="1" applyFont="1" applyFill="1" applyBorder="1"/>
    <xf numFmtId="4" fontId="79" fillId="0" borderId="16" xfId="0" applyNumberFormat="1" applyFont="1" applyFill="1" applyBorder="1"/>
    <xf numFmtId="4" fontId="18" fillId="0" borderId="70" xfId="0" applyNumberFormat="1" applyFont="1" applyBorder="1"/>
    <xf numFmtId="4" fontId="35" fillId="7" borderId="64" xfId="0" applyNumberFormat="1" applyFont="1" applyFill="1" applyBorder="1"/>
    <xf numFmtId="4" fontId="20" fillId="13" borderId="16" xfId="0" applyNumberFormat="1" applyFont="1" applyFill="1" applyBorder="1"/>
    <xf numFmtId="4" fontId="18" fillId="24" borderId="2" xfId="0" applyNumberFormat="1" applyFont="1" applyFill="1" applyBorder="1"/>
    <xf numFmtId="4" fontId="19" fillId="24" borderId="33" xfId="0" applyNumberFormat="1" applyFont="1" applyFill="1" applyBorder="1"/>
    <xf numFmtId="4" fontId="18" fillId="24" borderId="41" xfId="0" applyNumberFormat="1" applyFont="1" applyFill="1" applyBorder="1"/>
    <xf numFmtId="4" fontId="35" fillId="7" borderId="62" xfId="0" applyNumberFormat="1" applyFont="1" applyFill="1" applyBorder="1"/>
    <xf numFmtId="4" fontId="104" fillId="14" borderId="62" xfId="0" applyNumberFormat="1" applyFont="1" applyFill="1" applyBorder="1" applyAlignment="1"/>
    <xf numFmtId="4" fontId="35" fillId="2" borderId="64" xfId="0" applyNumberFormat="1" applyFont="1" applyFill="1" applyBorder="1"/>
    <xf numFmtId="4" fontId="18" fillId="2" borderId="6" xfId="0" applyNumberFormat="1" applyFont="1" applyFill="1" applyBorder="1"/>
    <xf numFmtId="4" fontId="18" fillId="2" borderId="32" xfId="0" applyNumberFormat="1" applyFont="1" applyFill="1" applyBorder="1"/>
    <xf numFmtId="4" fontId="35" fillId="14" borderId="6" xfId="0" applyNumberFormat="1" applyFont="1" applyFill="1" applyBorder="1" applyAlignment="1">
      <alignment horizontal="center"/>
    </xf>
    <xf numFmtId="4" fontId="18" fillId="14" borderId="44" xfId="0" applyNumberFormat="1" applyFont="1" applyFill="1" applyBorder="1" applyAlignment="1">
      <alignment horizontal="center"/>
    </xf>
    <xf numFmtId="4" fontId="18" fillId="14" borderId="32" xfId="0" applyNumberFormat="1" applyFont="1" applyFill="1" applyBorder="1" applyAlignment="1">
      <alignment horizontal="center"/>
    </xf>
    <xf numFmtId="4" fontId="35" fillId="7" borderId="12" xfId="0" applyNumberFormat="1" applyFont="1" applyFill="1" applyBorder="1"/>
    <xf numFmtId="4" fontId="35" fillId="7" borderId="31" xfId="0" applyNumberFormat="1" applyFont="1" applyFill="1" applyBorder="1"/>
    <xf numFmtId="4" fontId="35" fillId="7" borderId="4" xfId="0" applyNumberFormat="1" applyFont="1" applyFill="1" applyBorder="1"/>
    <xf numFmtId="4" fontId="35" fillId="7" borderId="33" xfId="0" applyNumberFormat="1" applyFont="1" applyFill="1" applyBorder="1"/>
    <xf numFmtId="4" fontId="16" fillId="14" borderId="10" xfId="0" applyNumberFormat="1" applyFont="1" applyFill="1" applyBorder="1" applyAlignment="1">
      <alignment wrapText="1"/>
    </xf>
    <xf numFmtId="4" fontId="19" fillId="14" borderId="8" xfId="0" applyNumberFormat="1" applyFont="1" applyFill="1" applyBorder="1"/>
    <xf numFmtId="4" fontId="19" fillId="14" borderId="26" xfId="0" applyNumberFormat="1" applyFont="1" applyFill="1" applyBorder="1"/>
    <xf numFmtId="4" fontId="19" fillId="14" borderId="18" xfId="0" applyNumberFormat="1" applyFont="1" applyFill="1" applyBorder="1"/>
    <xf numFmtId="4" fontId="19" fillId="14" borderId="45" xfId="0" applyNumberFormat="1" applyFont="1" applyFill="1" applyBorder="1"/>
    <xf numFmtId="4" fontId="18" fillId="14" borderId="8" xfId="0" applyNumberFormat="1" applyFont="1" applyFill="1" applyBorder="1"/>
    <xf numFmtId="4" fontId="11" fillId="43" borderId="144" xfId="0" applyNumberFormat="1" applyFont="1" applyFill="1" applyBorder="1"/>
    <xf numFmtId="4" fontId="21" fillId="43" borderId="145" xfId="0" applyNumberFormat="1" applyFont="1" applyFill="1" applyBorder="1"/>
    <xf numFmtId="4" fontId="21" fillId="43" borderId="146" xfId="0" applyNumberFormat="1" applyFont="1" applyFill="1" applyBorder="1"/>
    <xf numFmtId="49" fontId="11" fillId="43" borderId="133" xfId="0" applyNumberFormat="1" applyFont="1" applyFill="1" applyBorder="1" applyAlignment="1">
      <alignment horizontal="left"/>
    </xf>
    <xf numFmtId="4" fontId="21" fillId="43" borderId="150" xfId="0" applyNumberFormat="1" applyFont="1" applyFill="1" applyBorder="1"/>
    <xf numFmtId="4" fontId="21" fillId="43" borderId="136" xfId="0" applyNumberFormat="1" applyFont="1" applyFill="1" applyBorder="1"/>
    <xf numFmtId="4" fontId="21" fillId="43" borderId="137" xfId="0" applyNumberFormat="1" applyFont="1" applyFill="1" applyBorder="1"/>
    <xf numFmtId="4" fontId="21" fillId="43" borderId="134" xfId="0" applyNumberFormat="1" applyFont="1" applyFill="1" applyBorder="1"/>
    <xf numFmtId="4" fontId="21" fillId="43" borderId="151" xfId="0" applyNumberFormat="1" applyFont="1" applyFill="1" applyBorder="1"/>
    <xf numFmtId="4" fontId="21" fillId="43" borderId="153" xfId="0" applyNumberFormat="1" applyFont="1" applyFill="1" applyBorder="1"/>
    <xf numFmtId="4" fontId="21" fillId="43" borderId="135" xfId="0" applyNumberFormat="1" applyFont="1" applyFill="1" applyBorder="1"/>
    <xf numFmtId="49" fontId="2" fillId="43" borderId="10" xfId="0" applyNumberFormat="1" applyFont="1" applyFill="1" applyBorder="1" applyAlignment="1">
      <alignment horizontal="left"/>
    </xf>
    <xf numFmtId="49" fontId="32" fillId="43" borderId="133" xfId="0" applyNumberFormat="1" applyFont="1" applyFill="1" applyBorder="1" applyAlignment="1">
      <alignment horizontal="left"/>
    </xf>
    <xf numFmtId="4" fontId="45" fillId="43" borderId="134" xfId="0" applyNumberFormat="1" applyFont="1" applyFill="1" applyBorder="1"/>
    <xf numFmtId="4" fontId="21" fillId="43" borderId="141" xfId="0" applyNumberFormat="1" applyFont="1" applyFill="1" applyBorder="1"/>
    <xf numFmtId="4" fontId="45" fillId="43" borderId="151" xfId="0" applyNumberFormat="1" applyFont="1" applyFill="1" applyBorder="1"/>
    <xf numFmtId="49" fontId="11" fillId="43" borderId="10" xfId="0" applyNumberFormat="1" applyFont="1" applyFill="1" applyBorder="1" applyAlignment="1">
      <alignment horizontal="left"/>
    </xf>
    <xf numFmtId="4" fontId="21" fillId="43" borderId="8" xfId="0" applyNumberFormat="1" applyFont="1" applyFill="1" applyBorder="1"/>
    <xf numFmtId="4" fontId="21" fillId="43" borderId="26" xfId="0" applyNumberFormat="1" applyFont="1" applyFill="1" applyBorder="1"/>
    <xf numFmtId="4" fontId="21" fillId="43" borderId="18" xfId="0" applyNumberFormat="1" applyFont="1" applyFill="1" applyBorder="1"/>
    <xf numFmtId="4" fontId="45" fillId="43" borderId="26" xfId="0" applyNumberFormat="1" applyFont="1" applyFill="1" applyBorder="1"/>
    <xf numFmtId="0" fontId="21" fillId="43" borderId="26" xfId="0" applyFont="1" applyFill="1" applyBorder="1"/>
    <xf numFmtId="4" fontId="21" fillId="43" borderId="45" xfId="0" applyNumberFormat="1" applyFont="1" applyFill="1" applyBorder="1"/>
    <xf numFmtId="4" fontId="21" fillId="43" borderId="30" xfId="0" applyNumberFormat="1" applyFont="1" applyFill="1" applyBorder="1"/>
    <xf numFmtId="4" fontId="21" fillId="43" borderId="25" xfId="0" applyNumberFormat="1" applyFont="1" applyFill="1" applyBorder="1"/>
    <xf numFmtId="49" fontId="11" fillId="43" borderId="10" xfId="0" applyNumberFormat="1" applyFont="1" applyFill="1" applyBorder="1" applyAlignment="1">
      <alignment horizontal="left" wrapText="1"/>
    </xf>
    <xf numFmtId="4" fontId="21" fillId="43" borderId="29" xfId="0" applyNumberFormat="1" applyFont="1" applyFill="1" applyBorder="1"/>
    <xf numFmtId="4" fontId="21" fillId="24" borderId="12" xfId="0" applyNumberFormat="1" applyFont="1" applyFill="1" applyBorder="1"/>
    <xf numFmtId="4" fontId="21" fillId="24" borderId="31" xfId="0" applyNumberFormat="1" applyFont="1" applyFill="1" applyBorder="1"/>
    <xf numFmtId="4" fontId="21" fillId="24" borderId="63" xfId="0" applyNumberFormat="1" applyFont="1" applyFill="1" applyBorder="1"/>
    <xf numFmtId="4" fontId="21" fillId="24" borderId="4" xfId="0" applyNumberFormat="1" applyFont="1" applyFill="1" applyBorder="1"/>
    <xf numFmtId="4" fontId="21" fillId="24" borderId="2" xfId="0" applyNumberFormat="1" applyFont="1" applyFill="1" applyBorder="1"/>
    <xf numFmtId="4" fontId="2" fillId="0" borderId="17" xfId="0" applyNumberFormat="1" applyFont="1" applyFill="1" applyBorder="1" applyAlignment="1">
      <alignment horizontal="center"/>
    </xf>
    <xf numFmtId="4" fontId="25" fillId="0" borderId="11" xfId="4" applyNumberFormat="1" applyFont="1" applyBorder="1"/>
    <xf numFmtId="49" fontId="21" fillId="0" borderId="1" xfId="0" applyNumberFormat="1" applyFont="1" applyBorder="1" applyAlignment="1">
      <alignment horizontal="left"/>
    </xf>
    <xf numFmtId="4" fontId="27" fillId="4" borderId="59" xfId="0" applyNumberFormat="1" applyFont="1" applyFill="1" applyBorder="1" applyAlignment="1"/>
    <xf numFmtId="4" fontId="27" fillId="0" borderId="45" xfId="0" applyNumberFormat="1" applyFont="1" applyBorder="1" applyAlignment="1"/>
    <xf numFmtId="4" fontId="18" fillId="0" borderId="1" xfId="0" applyNumberFormat="1" applyFont="1" applyBorder="1"/>
    <xf numFmtId="4" fontId="18" fillId="0" borderId="1" xfId="0" applyNumberFormat="1" applyFont="1" applyFill="1" applyBorder="1"/>
    <xf numFmtId="4" fontId="18" fillId="0" borderId="1" xfId="0" applyNumberFormat="1" applyFont="1" applyBorder="1" applyAlignment="1">
      <alignment horizontal="center"/>
    </xf>
    <xf numFmtId="4" fontId="18" fillId="0" borderId="7" xfId="0" applyNumberFormat="1" applyFont="1" applyBorder="1"/>
    <xf numFmtId="4" fontId="18" fillId="0" borderId="7" xfId="0" applyNumberFormat="1" applyFont="1" applyFill="1" applyBorder="1"/>
    <xf numFmtId="0" fontId="57" fillId="0" borderId="0" xfId="0" applyFont="1" applyBorder="1" applyAlignment="1">
      <alignment horizontal="center" wrapText="1"/>
    </xf>
    <xf numFmtId="0" fontId="57" fillId="0" borderId="0" xfId="0" applyFont="1" applyBorder="1" applyAlignment="1">
      <alignment horizontal="center" wrapText="1"/>
    </xf>
    <xf numFmtId="4" fontId="99" fillId="0" borderId="78" xfId="73" applyNumberFormat="1" applyFont="1" applyBorder="1" applyProtection="1">
      <alignment horizontal="center" vertical="center" shrinkToFit="1"/>
    </xf>
    <xf numFmtId="0" fontId="2" fillId="0" borderId="0" xfId="3" applyFont="1" applyBorder="1" applyAlignment="1">
      <alignment wrapText="1"/>
    </xf>
    <xf numFmtId="0" fontId="0" fillId="44" borderId="0" xfId="0" applyFill="1"/>
    <xf numFmtId="0" fontId="67" fillId="44" borderId="0" xfId="0" applyFont="1" applyFill="1"/>
    <xf numFmtId="0" fontId="82" fillId="44" borderId="0" xfId="0" applyFont="1" applyFill="1"/>
    <xf numFmtId="4" fontId="2" fillId="0" borderId="0" xfId="0" applyNumberFormat="1" applyFont="1" applyFill="1"/>
    <xf numFmtId="4" fontId="0" fillId="44" borderId="0" xfId="0" applyNumberFormat="1" applyFill="1"/>
    <xf numFmtId="0" fontId="100" fillId="0" borderId="0" xfId="28" applyNumberFormat="1" applyFont="1" applyAlignment="1" applyProtection="1">
      <alignment horizontal="center" vertical="center"/>
    </xf>
    <xf numFmtId="49" fontId="92" fillId="0" borderId="91" xfId="63" applyNumberFormat="1" applyBorder="1" applyAlignment="1" applyProtection="1">
      <alignment horizontal="center" vertical="center" wrapText="1"/>
    </xf>
    <xf numFmtId="49" fontId="92" fillId="0" borderId="79" xfId="63" applyNumberFormat="1" applyBorder="1" applyAlignment="1" applyProtection="1">
      <alignment horizontal="center" vertical="center" wrapText="1"/>
    </xf>
    <xf numFmtId="0" fontId="92" fillId="0" borderId="91" xfId="64" applyNumberFormat="1" applyBorder="1" applyAlignment="1" applyProtection="1">
      <alignment horizontal="center" vertical="center" wrapText="1"/>
    </xf>
    <xf numFmtId="0" fontId="92" fillId="0" borderId="79" xfId="64" applyNumberFormat="1" applyBorder="1" applyAlignment="1" applyProtection="1">
      <alignment horizontal="center" vertical="center" wrapText="1"/>
    </xf>
    <xf numFmtId="0" fontId="92" fillId="0" borderId="3" xfId="64" applyNumberFormat="1" applyBorder="1" applyAlignment="1" applyProtection="1">
      <alignment horizontal="center" vertical="center" wrapText="1"/>
    </xf>
    <xf numFmtId="0" fontId="92" fillId="0" borderId="5" xfId="64" applyNumberFormat="1" applyBorder="1" applyAlignment="1" applyProtection="1">
      <alignment horizontal="center" vertical="center" wrapText="1"/>
    </xf>
    <xf numFmtId="0" fontId="88" fillId="0" borderId="87" xfId="51" applyNumberFormat="1" applyFont="1">
      <alignment horizontal="left" wrapText="1"/>
    </xf>
    <xf numFmtId="0" fontId="89" fillId="0" borderId="0" xfId="57" applyNumberFormat="1" applyProtection="1">
      <alignment horizontal="center" vertical="center"/>
    </xf>
    <xf numFmtId="0" fontId="89" fillId="0" borderId="0" xfId="57" applyNumberFormat="1">
      <alignment horizontal="center" vertical="center"/>
    </xf>
    <xf numFmtId="49" fontId="16" fillId="0" borderId="0" xfId="0" applyNumberFormat="1" applyFont="1" applyFill="1" applyBorder="1" applyAlignment="1">
      <alignment horizontal="center" vertical="center" wrapText="1"/>
    </xf>
    <xf numFmtId="49" fontId="98" fillId="0" borderId="92" xfId="23" applyNumberFormat="1" applyFont="1" applyBorder="1" applyAlignment="1" applyProtection="1">
      <alignment horizontal="center" vertical="center" wrapText="1"/>
    </xf>
    <xf numFmtId="49" fontId="98" fillId="0" borderId="92" xfId="23" applyNumberFormat="1" applyFont="1" applyBorder="1" applyAlignment="1">
      <alignment horizontal="center" vertical="center" wrapText="1"/>
    </xf>
    <xf numFmtId="49" fontId="98" fillId="0" borderId="80" xfId="23" applyNumberFormat="1" applyFont="1" applyBorder="1" applyAlignment="1">
      <alignment horizontal="center" vertical="center" wrapText="1"/>
    </xf>
    <xf numFmtId="0" fontId="89" fillId="0" borderId="0" xfId="46" applyNumberFormat="1" applyFont="1" applyProtection="1">
      <alignment horizontal="left" vertical="center"/>
    </xf>
    <xf numFmtId="0" fontId="89" fillId="0" borderId="0" xfId="46" applyNumberFormat="1" applyFont="1">
      <alignment horizontal="left" vertical="center"/>
    </xf>
    <xf numFmtId="0" fontId="88" fillId="0" borderId="79" xfId="47" applyNumberFormat="1" applyFont="1">
      <alignment horizontal="left" wrapText="1"/>
    </xf>
    <xf numFmtId="0" fontId="91" fillId="34" borderId="93" xfId="13" applyNumberFormat="1" applyFont="1" applyBorder="1" applyAlignment="1" applyProtection="1">
      <alignment horizontal="center" vertical="center"/>
    </xf>
    <xf numFmtId="0" fontId="91" fillId="34" borderId="93" xfId="13" applyNumberFormat="1" applyFont="1" applyBorder="1" applyAlignment="1">
      <alignment horizontal="center" vertical="center"/>
    </xf>
    <xf numFmtId="0" fontId="91" fillId="34" borderId="100" xfId="13" applyNumberFormat="1" applyFont="1" applyBorder="1" applyAlignment="1">
      <alignment horizontal="center" vertical="center"/>
    </xf>
    <xf numFmtId="49" fontId="91" fillId="36" borderId="95" xfId="22" applyNumberFormat="1" applyFont="1" applyBorder="1" applyAlignment="1" applyProtection="1">
      <alignment horizontal="center" vertical="center" wrapText="1"/>
    </xf>
    <xf numFmtId="49" fontId="91" fillId="36" borderId="95" xfId="22" applyNumberFormat="1" applyFont="1" applyBorder="1" applyAlignment="1">
      <alignment horizontal="center" vertical="center" wrapText="1"/>
    </xf>
    <xf numFmtId="49" fontId="91" fillId="36" borderId="80" xfId="22" applyNumberFormat="1" applyFont="1" applyBorder="1" applyAlignment="1">
      <alignment horizontal="center" vertical="center" wrapText="1"/>
    </xf>
    <xf numFmtId="0" fontId="89" fillId="0" borderId="90" xfId="7" applyNumberFormat="1" applyFont="1" applyBorder="1" applyProtection="1">
      <alignment horizontal="center" vertical="center" wrapText="1"/>
    </xf>
    <xf numFmtId="0" fontId="89" fillId="0" borderId="90" xfId="7" applyNumberFormat="1" applyFont="1" applyBorder="1">
      <alignment horizontal="center" vertical="center" wrapText="1"/>
    </xf>
    <xf numFmtId="0" fontId="89" fillId="0" borderId="77" xfId="60" applyNumberFormat="1" applyProtection="1">
      <alignment horizontal="center" vertical="center" wrapText="1"/>
    </xf>
    <xf numFmtId="0" fontId="89" fillId="0" borderId="77" xfId="60" applyNumberFormat="1">
      <alignment horizontal="center" vertical="center" wrapText="1"/>
    </xf>
    <xf numFmtId="0" fontId="89" fillId="0" borderId="77" xfId="61" applyNumberFormat="1" applyProtection="1">
      <alignment horizontal="center" vertical="center" wrapText="1"/>
    </xf>
    <xf numFmtId="0" fontId="89" fillId="0" borderId="77" xfId="61" applyNumberFormat="1">
      <alignment horizontal="center" vertical="center" wrapText="1"/>
    </xf>
    <xf numFmtId="49" fontId="89" fillId="0" borderId="77" xfId="62" applyNumberFormat="1" applyProtection="1">
      <alignment horizontal="center" vertical="center" wrapText="1"/>
    </xf>
    <xf numFmtId="49" fontId="89" fillId="0" borderId="77" xfId="62" applyNumberFormat="1">
      <alignment horizontal="center" vertical="center" wrapText="1"/>
    </xf>
    <xf numFmtId="49" fontId="92" fillId="0" borderId="77" xfId="63" applyNumberFormat="1" applyProtection="1">
      <alignment horizontal="center" vertical="center" wrapText="1"/>
    </xf>
    <xf numFmtId="49" fontId="92" fillId="0" borderId="77" xfId="63" applyNumberFormat="1">
      <alignment horizontal="center" vertical="center" wrapText="1"/>
    </xf>
    <xf numFmtId="0" fontId="92" fillId="0" borderId="77" xfId="64" applyNumberFormat="1" applyProtection="1">
      <alignment horizontal="center" vertical="center" wrapText="1"/>
    </xf>
    <xf numFmtId="0" fontId="92" fillId="0" borderId="77" xfId="64" applyNumberFormat="1">
      <alignment horizontal="center" vertical="center" wrapText="1"/>
    </xf>
    <xf numFmtId="49" fontId="89" fillId="0" borderId="3" xfId="62" applyNumberFormat="1" applyBorder="1" applyAlignment="1" applyProtection="1">
      <alignment horizontal="center" vertical="center" wrapText="1"/>
    </xf>
    <xf numFmtId="49" fontId="89" fillId="0" borderId="41" xfId="62" applyNumberFormat="1" applyBorder="1" applyAlignment="1" applyProtection="1">
      <alignment horizontal="center" vertical="center" wrapText="1"/>
    </xf>
    <xf numFmtId="49" fontId="89" fillId="0" borderId="5" xfId="62" applyNumberFormat="1" applyBorder="1" applyAlignment="1" applyProtection="1">
      <alignment horizontal="center" vertical="center" wrapText="1"/>
    </xf>
    <xf numFmtId="0" fontId="18" fillId="0" borderId="17" xfId="0" applyFont="1" applyBorder="1" applyAlignment="1">
      <alignment horizontal="center"/>
    </xf>
    <xf numFmtId="0" fontId="18" fillId="0" borderId="16" xfId="0" applyFont="1" applyBorder="1" applyAlignment="1">
      <alignment horizontal="center"/>
    </xf>
    <xf numFmtId="0" fontId="18" fillId="0" borderId="12" xfId="0" applyFont="1" applyBorder="1" applyAlignment="1">
      <alignment horizontal="center"/>
    </xf>
    <xf numFmtId="0" fontId="18" fillId="0" borderId="33" xfId="0" applyFont="1" applyBorder="1" applyAlignment="1">
      <alignment horizontal="center"/>
    </xf>
    <xf numFmtId="0" fontId="18" fillId="0" borderId="5" xfId="0" applyFont="1" applyBorder="1" applyAlignment="1">
      <alignment horizontal="center"/>
    </xf>
    <xf numFmtId="0" fontId="18" fillId="0" borderId="3" xfId="0" applyFont="1" applyBorder="1" applyAlignment="1">
      <alignment horizontal="center"/>
    </xf>
    <xf numFmtId="0" fontId="21" fillId="0" borderId="52" xfId="0" applyFont="1" applyBorder="1" applyAlignment="1" applyProtection="1">
      <alignment horizontal="center"/>
      <protection locked="0"/>
    </xf>
    <xf numFmtId="0" fontId="21" fillId="0" borderId="36" xfId="0" applyFont="1" applyBorder="1" applyAlignment="1" applyProtection="1">
      <alignment horizontal="center"/>
      <protection locked="0"/>
    </xf>
    <xf numFmtId="0" fontId="21" fillId="0" borderId="46" xfId="0" applyFont="1" applyBorder="1" applyAlignment="1" applyProtection="1">
      <alignment horizontal="center"/>
      <protection locked="0"/>
    </xf>
    <xf numFmtId="0" fontId="21" fillId="0" borderId="49" xfId="0" applyFont="1" applyBorder="1" applyAlignment="1" applyProtection="1">
      <alignment horizontal="center"/>
      <protection locked="0"/>
    </xf>
    <xf numFmtId="0" fontId="20" fillId="0" borderId="0" xfId="0" applyFont="1" applyAlignment="1">
      <alignment horizontal="center" wrapText="1"/>
    </xf>
    <xf numFmtId="0" fontId="20" fillId="0" borderId="66" xfId="0" applyFont="1" applyBorder="1" applyAlignment="1">
      <alignment horizontal="center" wrapText="1"/>
    </xf>
    <xf numFmtId="0" fontId="2" fillId="0" borderId="0" xfId="3" applyFont="1" applyAlignment="1"/>
    <xf numFmtId="0" fontId="3" fillId="0" borderId="7" xfId="3" applyFont="1" applyBorder="1" applyAlignment="1">
      <alignment horizontal="center" wrapText="1"/>
    </xf>
    <xf numFmtId="0" fontId="3" fillId="0" borderId="9" xfId="3" applyFont="1" applyBorder="1" applyAlignment="1">
      <alignment horizontal="center" wrapText="1"/>
    </xf>
    <xf numFmtId="49" fontId="3" fillId="0" borderId="7" xfId="3" applyNumberFormat="1" applyFont="1" applyBorder="1" applyAlignment="1">
      <alignment horizontal="center" wrapText="1"/>
    </xf>
    <xf numFmtId="49" fontId="3" fillId="0" borderId="9" xfId="3" applyNumberFormat="1" applyFont="1" applyBorder="1" applyAlignment="1">
      <alignment horizontal="center" wrapText="1"/>
    </xf>
    <xf numFmtId="0" fontId="2" fillId="0" borderId="3" xfId="3" applyFont="1" applyBorder="1" applyAlignment="1">
      <alignment horizontal="center"/>
    </xf>
    <xf numFmtId="0" fontId="2" fillId="0" borderId="41" xfId="3" applyFont="1" applyBorder="1" applyAlignment="1">
      <alignment horizontal="center"/>
    </xf>
    <xf numFmtId="0" fontId="2" fillId="0" borderId="5" xfId="3" applyFont="1" applyBorder="1" applyAlignment="1">
      <alignment horizontal="center"/>
    </xf>
    <xf numFmtId="0" fontId="1" fillId="0" borderId="0" xfId="0" applyFont="1" applyAlignment="1">
      <alignment horizontal="center"/>
    </xf>
    <xf numFmtId="0" fontId="2" fillId="0" borderId="0" xfId="0" applyFont="1" applyAlignment="1">
      <alignment horizontal="right"/>
    </xf>
    <xf numFmtId="0" fontId="2" fillId="0" borderId="66" xfId="0" applyFont="1" applyBorder="1" applyAlignment="1">
      <alignment horizontal="right"/>
    </xf>
    <xf numFmtId="0" fontId="25" fillId="0" borderId="49" xfId="3" applyFont="1" applyBorder="1" applyAlignment="1">
      <alignment horizontal="center"/>
    </xf>
    <xf numFmtId="0" fontId="25" fillId="0" borderId="48" xfId="3" applyFont="1" applyBorder="1" applyAlignment="1">
      <alignment horizontal="center"/>
    </xf>
    <xf numFmtId="0" fontId="25" fillId="0" borderId="52" xfId="3" applyFont="1" applyBorder="1" applyAlignment="1">
      <alignment horizontal="center"/>
    </xf>
    <xf numFmtId="0" fontId="25" fillId="0" borderId="72" xfId="3" applyFont="1" applyBorder="1" applyAlignment="1">
      <alignment horizontal="center"/>
    </xf>
    <xf numFmtId="0" fontId="3" fillId="0" borderId="58" xfId="3" applyFont="1" applyBorder="1" applyAlignment="1">
      <alignment horizontal="center" wrapText="1"/>
    </xf>
    <xf numFmtId="0" fontId="3" fillId="0" borderId="53" xfId="3" applyFont="1" applyBorder="1" applyAlignment="1">
      <alignment horizontal="center" wrapText="1"/>
    </xf>
    <xf numFmtId="49" fontId="3" fillId="0" borderId="50" xfId="3" applyNumberFormat="1" applyFont="1" applyBorder="1" applyAlignment="1">
      <alignment horizontal="center" wrapText="1"/>
    </xf>
    <xf numFmtId="49" fontId="3" fillId="0" borderId="34" xfId="3" applyNumberFormat="1" applyFont="1" applyBorder="1" applyAlignment="1">
      <alignment horizontal="center" wrapText="1"/>
    </xf>
    <xf numFmtId="0" fontId="27" fillId="0" borderId="49" xfId="3" applyFont="1" applyBorder="1" applyAlignment="1">
      <alignment horizontal="center"/>
    </xf>
    <xf numFmtId="0" fontId="27" fillId="0" borderId="48" xfId="3" applyFont="1" applyBorder="1" applyAlignment="1">
      <alignment horizontal="center"/>
    </xf>
    <xf numFmtId="0" fontId="27" fillId="0" borderId="52" xfId="3" applyFont="1" applyBorder="1" applyAlignment="1">
      <alignment horizontal="center"/>
    </xf>
    <xf numFmtId="0" fontId="27" fillId="0" borderId="72" xfId="3" applyFont="1" applyBorder="1" applyAlignment="1">
      <alignment horizontal="center"/>
    </xf>
    <xf numFmtId="0" fontId="3" fillId="0" borderId="4" xfId="3" applyFont="1" applyBorder="1" applyAlignment="1">
      <alignment horizontal="center" wrapText="1"/>
    </xf>
    <xf numFmtId="0" fontId="10" fillId="0" borderId="2" xfId="0" applyFont="1" applyBorder="1" applyAlignment="1"/>
    <xf numFmtId="0" fontId="4" fillId="0" borderId="3" xfId="0" applyFont="1" applyBorder="1" applyAlignment="1">
      <alignment horizontal="center"/>
    </xf>
    <xf numFmtId="0" fontId="4" fillId="0" borderId="5" xfId="0" applyFont="1" applyBorder="1" applyAlignment="1">
      <alignment horizontal="center"/>
    </xf>
    <xf numFmtId="0" fontId="0" fillId="0" borderId="0" xfId="0" applyAlignment="1">
      <alignment horizontal="center"/>
    </xf>
    <xf numFmtId="0" fontId="0" fillId="0" borderId="2" xfId="0" applyBorder="1" applyAlignment="1">
      <alignment horizontal="left"/>
    </xf>
    <xf numFmtId="0" fontId="0" fillId="0" borderId="41" xfId="0" applyBorder="1" applyAlignment="1">
      <alignment horizontal="center"/>
    </xf>
    <xf numFmtId="0" fontId="4" fillId="0" borderId="41" xfId="0" applyFont="1" applyBorder="1" applyAlignment="1">
      <alignment horizont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49" fontId="4" fillId="0" borderId="0" xfId="0" applyNumberFormat="1" applyFont="1" applyAlignment="1">
      <alignment horizontal="right" indent="1"/>
    </xf>
    <xf numFmtId="49" fontId="4" fillId="0" borderId="66" xfId="0" applyNumberFormat="1" applyFont="1" applyBorder="1" applyAlignment="1">
      <alignment horizontal="right" indent="1"/>
    </xf>
    <xf numFmtId="0" fontId="10" fillId="0" borderId="2" xfId="0" applyFont="1" applyBorder="1" applyAlignment="1">
      <alignment horizontal="left"/>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xf>
    <xf numFmtId="0" fontId="3" fillId="0" borderId="6" xfId="3" applyFont="1" applyBorder="1" applyAlignment="1">
      <alignment horizontal="center" wrapText="1"/>
    </xf>
    <xf numFmtId="49" fontId="88" fillId="0" borderId="3" xfId="83" applyNumberFormat="1" applyFont="1" applyBorder="1" applyAlignment="1" applyProtection="1">
      <alignment horizontal="center" vertical="center"/>
    </xf>
    <xf numFmtId="49" fontId="88" fillId="0" borderId="41" xfId="83" applyNumberFormat="1" applyFont="1" applyBorder="1" applyAlignment="1" applyProtection="1">
      <alignment horizontal="center" vertical="center"/>
    </xf>
    <xf numFmtId="49" fontId="88" fillId="0" borderId="0" xfId="83" applyNumberFormat="1" applyFont="1" applyBorder="1" applyAlignment="1" applyProtection="1">
      <alignment horizontal="center" vertical="center"/>
    </xf>
    <xf numFmtId="49" fontId="88" fillId="0" borderId="14" xfId="83" applyNumberFormat="1" applyFont="1" applyBorder="1" applyAlignment="1" applyProtection="1">
      <alignment horizontal="center" vertical="center"/>
    </xf>
    <xf numFmtId="0" fontId="0" fillId="5" borderId="76" xfId="0" applyFill="1" applyBorder="1" applyAlignment="1">
      <alignment horizontal="center"/>
    </xf>
    <xf numFmtId="0" fontId="0" fillId="5" borderId="48" xfId="0" applyFill="1" applyBorder="1" applyAlignment="1">
      <alignment horizontal="center"/>
    </xf>
    <xf numFmtId="0" fontId="12" fillId="5" borderId="76" xfId="0" applyFont="1" applyFill="1" applyBorder="1" applyAlignment="1">
      <alignment horizontal="center"/>
    </xf>
    <xf numFmtId="0" fontId="12" fillId="5" borderId="48" xfId="0" applyFont="1" applyFill="1" applyBorder="1" applyAlignment="1">
      <alignment horizontal="center"/>
    </xf>
    <xf numFmtId="0" fontId="12" fillId="5" borderId="72" xfId="0" applyFont="1" applyFill="1" applyBorder="1" applyAlignment="1">
      <alignment horizontal="center"/>
    </xf>
    <xf numFmtId="0" fontId="0" fillId="5" borderId="72" xfId="0" applyFill="1" applyBorder="1" applyAlignment="1">
      <alignment horizontal="center"/>
    </xf>
    <xf numFmtId="49" fontId="95" fillId="0" borderId="82" xfId="83" applyNumberFormat="1" applyFont="1" applyBorder="1" applyAlignment="1" applyProtection="1">
      <alignment horizontal="center" vertical="center"/>
    </xf>
    <xf numFmtId="49" fontId="95" fillId="0" borderId="0" xfId="83" applyNumberFormat="1" applyFont="1" applyBorder="1" applyAlignment="1" applyProtection="1">
      <alignment horizontal="center" vertical="center"/>
    </xf>
    <xf numFmtId="4" fontId="6" fillId="7" borderId="3" xfId="0" applyNumberFormat="1" applyFont="1" applyFill="1" applyBorder="1" applyAlignment="1">
      <alignment horizontal="center"/>
    </xf>
    <xf numFmtId="4" fontId="6" fillId="7" borderId="5" xfId="0" applyNumberFormat="1" applyFont="1" applyFill="1" applyBorder="1" applyAlignment="1">
      <alignment horizontal="center"/>
    </xf>
    <xf numFmtId="4" fontId="6" fillId="16" borderId="3" xfId="0" applyNumberFormat="1" applyFont="1" applyFill="1" applyBorder="1" applyAlignment="1">
      <alignment horizontal="center"/>
    </xf>
    <xf numFmtId="4" fontId="6" fillId="16" borderId="5" xfId="0" applyNumberFormat="1" applyFont="1" applyFill="1" applyBorder="1" applyAlignment="1">
      <alignment horizontal="center"/>
    </xf>
    <xf numFmtId="4" fontId="0" fillId="0" borderId="1" xfId="0" applyNumberFormat="1" applyBorder="1" applyAlignment="1">
      <alignment horizontal="center" wrapText="1"/>
    </xf>
    <xf numFmtId="0" fontId="7" fillId="0" borderId="0" xfId="0" applyFont="1" applyAlignment="1">
      <alignment horizontal="left"/>
    </xf>
    <xf numFmtId="0" fontId="14" fillId="0" borderId="0" xfId="0" applyFont="1" applyAlignment="1">
      <alignment horizontal="left"/>
    </xf>
    <xf numFmtId="0" fontId="14" fillId="0" borderId="0" xfId="0" applyFont="1" applyBorder="1" applyAlignment="1">
      <alignment horizont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0" fillId="0" borderId="0" xfId="0" applyFont="1" applyAlignment="1">
      <alignment horizontal="center" wrapText="1"/>
    </xf>
    <xf numFmtId="4" fontId="0" fillId="0" borderId="7" xfId="0" applyNumberFormat="1" applyBorder="1" applyAlignment="1">
      <alignment horizontal="center" wrapText="1"/>
    </xf>
    <xf numFmtId="4" fontId="0" fillId="0" borderId="11" xfId="0" applyNumberFormat="1" applyBorder="1" applyAlignment="1">
      <alignment horizontal="center" wrapText="1"/>
    </xf>
    <xf numFmtId="4" fontId="0" fillId="0" borderId="9" xfId="0" applyNumberFormat="1" applyBorder="1" applyAlignment="1">
      <alignment horizontal="center" wrapText="1"/>
    </xf>
    <xf numFmtId="0" fontId="4" fillId="0" borderId="41" xfId="0" applyFont="1" applyBorder="1" applyAlignment="1">
      <alignment horizontal="left" wrapText="1"/>
    </xf>
    <xf numFmtId="0" fontId="2" fillId="0" borderId="41" xfId="0" applyFont="1" applyBorder="1" applyAlignment="1">
      <alignment horizontal="left" wrapText="1"/>
    </xf>
    <xf numFmtId="0" fontId="2" fillId="0" borderId="64" xfId="0" applyFont="1" applyBorder="1" applyAlignment="1">
      <alignment horizontal="left" wrapText="1"/>
    </xf>
    <xf numFmtId="0" fontId="43" fillId="0" borderId="41" xfId="0" applyFont="1" applyBorder="1" applyAlignment="1">
      <alignment horizontal="left" wrapText="1"/>
    </xf>
    <xf numFmtId="0" fontId="43" fillId="0" borderId="64" xfId="0" applyFont="1" applyBorder="1" applyAlignment="1">
      <alignment horizontal="left" wrapText="1"/>
    </xf>
    <xf numFmtId="0" fontId="4" fillId="0" borderId="56" xfId="0" applyFont="1" applyBorder="1" applyAlignment="1">
      <alignment horizontal="left" wrapText="1"/>
    </xf>
    <xf numFmtId="0" fontId="4" fillId="0" borderId="70" xfId="0" applyFont="1" applyBorder="1" applyAlignment="1">
      <alignment horizontal="left" wrapText="1"/>
    </xf>
    <xf numFmtId="0" fontId="40" fillId="0" borderId="56" xfId="0" applyFont="1" applyBorder="1" applyAlignment="1">
      <alignment horizontal="left" wrapText="1"/>
    </xf>
    <xf numFmtId="0" fontId="40" fillId="0" borderId="70" xfId="0" applyFont="1" applyBorder="1" applyAlignment="1">
      <alignment horizontal="left" wrapText="1"/>
    </xf>
    <xf numFmtId="0" fontId="40" fillId="0" borderId="41" xfId="0" applyFont="1" applyBorder="1" applyAlignment="1">
      <alignment horizontal="left" wrapText="1"/>
    </xf>
    <xf numFmtId="0" fontId="40" fillId="0" borderId="64" xfId="0" applyFont="1" applyBorder="1" applyAlignment="1">
      <alignment horizontal="left" wrapText="1"/>
    </xf>
    <xf numFmtId="0" fontId="43" fillId="0" borderId="41" xfId="0" applyFont="1" applyBorder="1" applyAlignment="1">
      <alignment wrapText="1"/>
    </xf>
    <xf numFmtId="0" fontId="43" fillId="0" borderId="64" xfId="0" applyFont="1" applyBorder="1" applyAlignment="1">
      <alignment wrapText="1"/>
    </xf>
    <xf numFmtId="0" fontId="4" fillId="0" borderId="2" xfId="0" applyFont="1" applyBorder="1" applyAlignment="1">
      <alignment horizontal="left" wrapText="1"/>
    </xf>
    <xf numFmtId="0" fontId="2" fillId="0" borderId="2" xfId="0" applyFont="1" applyBorder="1" applyAlignment="1">
      <alignment horizontal="left" wrapText="1"/>
    </xf>
    <xf numFmtId="0" fontId="4" fillId="0" borderId="63" xfId="0" applyFont="1" applyBorder="1" applyAlignment="1">
      <alignment horizontal="left" wrapText="1"/>
    </xf>
    <xf numFmtId="0" fontId="2" fillId="0" borderId="63" xfId="0" applyFont="1" applyBorder="1" applyAlignment="1">
      <alignment horizontal="left" wrapText="1"/>
    </xf>
    <xf numFmtId="0" fontId="4" fillId="0" borderId="64" xfId="0" applyFont="1" applyBorder="1" applyAlignment="1">
      <alignment horizontal="left" wrapText="1"/>
    </xf>
    <xf numFmtId="0" fontId="3" fillId="0" borderId="50" xfId="3" applyFont="1" applyBorder="1" applyAlignment="1">
      <alignment horizontal="center" wrapText="1"/>
    </xf>
    <xf numFmtId="0" fontId="3" fillId="0" borderId="34" xfId="3" applyFont="1" applyBorder="1" applyAlignment="1">
      <alignment horizontal="center" wrapText="1"/>
    </xf>
    <xf numFmtId="0" fontId="57" fillId="0" borderId="0" xfId="0" applyFont="1" applyBorder="1" applyAlignment="1">
      <alignment horizontal="center" wrapText="1"/>
    </xf>
    <xf numFmtId="0" fontId="57" fillId="0" borderId="56" xfId="0" applyFont="1" applyBorder="1" applyAlignment="1">
      <alignment horizontal="center" wrapText="1"/>
    </xf>
    <xf numFmtId="0" fontId="55" fillId="0" borderId="58" xfId="0" applyFont="1" applyBorder="1" applyAlignment="1">
      <alignment horizontal="center" wrapText="1"/>
    </xf>
    <xf numFmtId="0" fontId="55" fillId="0" borderId="4" xfId="0" applyFont="1" applyBorder="1" applyAlignment="1">
      <alignment horizontal="center" wrapText="1"/>
    </xf>
    <xf numFmtId="49" fontId="56" fillId="0" borderId="7" xfId="0" applyNumberFormat="1" applyFont="1" applyBorder="1" applyAlignment="1">
      <alignment horizontal="left"/>
    </xf>
    <xf numFmtId="49" fontId="56" fillId="0" borderId="9" xfId="0" applyNumberFormat="1" applyFont="1" applyBorder="1" applyAlignment="1">
      <alignment horizontal="left"/>
    </xf>
    <xf numFmtId="0" fontId="18" fillId="0" borderId="1" xfId="0" applyFont="1" applyBorder="1" applyAlignment="1">
      <alignment horizontal="center" vertical="center"/>
    </xf>
    <xf numFmtId="49" fontId="83" fillId="0" borderId="77" xfId="7" applyNumberFormat="1" applyProtection="1">
      <alignment horizontal="center" vertical="center" wrapText="1"/>
    </xf>
    <xf numFmtId="49" fontId="83" fillId="0" borderId="77" xfId="7" applyNumberFormat="1">
      <alignment horizontal="center" vertical="center" wrapText="1"/>
    </xf>
    <xf numFmtId="0" fontId="83" fillId="0" borderId="78" xfId="8" applyNumberFormat="1" applyBorder="1" applyProtection="1">
      <alignment horizontal="center" vertical="center" wrapText="1"/>
    </xf>
    <xf numFmtId="0" fontId="83" fillId="0" borderId="78" xfId="8" applyNumberFormat="1" applyBorder="1">
      <alignment horizontal="center" vertical="center" wrapText="1"/>
    </xf>
    <xf numFmtId="0" fontId="83" fillId="0" borderId="13" xfId="8" applyNumberFormat="1" applyBorder="1" applyAlignment="1" applyProtection="1">
      <alignment horizontal="center" vertical="center" wrapText="1"/>
    </xf>
    <xf numFmtId="0" fontId="83" fillId="0" borderId="6" xfId="8" applyNumberFormat="1" applyBorder="1" applyAlignment="1" applyProtection="1">
      <alignment horizontal="center" vertical="center" wrapText="1"/>
    </xf>
    <xf numFmtId="0" fontId="83" fillId="0" borderId="19" xfId="8" applyNumberFormat="1" applyBorder="1" applyAlignment="1" applyProtection="1">
      <alignment horizontal="center" vertical="center" wrapText="1"/>
    </xf>
    <xf numFmtId="0" fontId="83" fillId="0" borderId="14" xfId="8" applyNumberFormat="1" applyBorder="1" applyAlignment="1" applyProtection="1">
      <alignment horizontal="center" vertical="center" wrapText="1"/>
    </xf>
    <xf numFmtId="0" fontId="83" fillId="0" borderId="33" xfId="8" applyNumberFormat="1" applyBorder="1" applyAlignment="1" applyProtection="1">
      <alignment horizontal="center" vertical="center" wrapText="1"/>
    </xf>
    <xf numFmtId="0" fontId="83" fillId="0" borderId="4" xfId="8" applyNumberFormat="1" applyBorder="1" applyAlignment="1" applyProtection="1">
      <alignment horizontal="center" vertical="center" wrapText="1"/>
    </xf>
    <xf numFmtId="4" fontId="21" fillId="0" borderId="0" xfId="0" applyNumberFormat="1" applyFont="1" applyAlignment="1"/>
    <xf numFmtId="4" fontId="42" fillId="0" borderId="0" xfId="0" applyNumberFormat="1" applyFont="1" applyAlignment="1"/>
    <xf numFmtId="4" fontId="0" fillId="0" borderId="2" xfId="0" applyNumberFormat="1" applyBorder="1" applyAlignment="1"/>
    <xf numFmtId="0" fontId="21" fillId="0" borderId="0" xfId="0" applyFont="1"/>
  </cellXfs>
  <cellStyles count="112">
    <cellStyle name="st168" xfId="47"/>
    <cellStyle name="st169" xfId="51"/>
    <cellStyle name="st170" xfId="74"/>
    <cellStyle name="xl100" xfId="88"/>
    <cellStyle name="xl106" xfId="62"/>
    <cellStyle name="xl107" xfId="63"/>
    <cellStyle name="xl108" xfId="66"/>
    <cellStyle name="xl110" xfId="77"/>
    <cellStyle name="xl111" xfId="81"/>
    <cellStyle name="xl112" xfId="72"/>
    <cellStyle name="xl113" xfId="93"/>
    <cellStyle name="xl114" xfId="89"/>
    <cellStyle name="xl115" xfId="100"/>
    <cellStyle name="xl116" xfId="103"/>
    <cellStyle name="xl124" xfId="67"/>
    <cellStyle name="xl125" xfId="90"/>
    <cellStyle name="xl127" xfId="97"/>
    <cellStyle name="xl128" xfId="92"/>
    <cellStyle name="xl129" xfId="91"/>
    <cellStyle name="xl131" xfId="78"/>
    <cellStyle name="xl134" xfId="31"/>
    <cellStyle name="xl135" xfId="44"/>
    <cellStyle name="xl138" xfId="53"/>
    <cellStyle name="xl139" xfId="64"/>
    <cellStyle name="xl140" xfId="94"/>
    <cellStyle name="xl142" xfId="106"/>
    <cellStyle name="xl143" xfId="108"/>
    <cellStyle name="xl144" xfId="110"/>
    <cellStyle name="xl145" xfId="96"/>
    <cellStyle name="xl147" xfId="95"/>
    <cellStyle name="xl149" xfId="73"/>
    <cellStyle name="xl150" xfId="79"/>
    <cellStyle name="xl151" xfId="82"/>
    <cellStyle name="xl152" xfId="107"/>
    <cellStyle name="xl153" xfId="109"/>
    <cellStyle name="xl154" xfId="111"/>
    <cellStyle name="xl155" xfId="54"/>
    <cellStyle name="xl156" xfId="40"/>
    <cellStyle name="xl157" xfId="55"/>
    <cellStyle name="xl158" xfId="58"/>
    <cellStyle name="xl166" xfId="35"/>
    <cellStyle name="xl167" xfId="41"/>
    <cellStyle name="xl168" xfId="48"/>
    <cellStyle name="xl169" xfId="33"/>
    <cellStyle name="xl170" xfId="36"/>
    <cellStyle name="xl171" xfId="42"/>
    <cellStyle name="xl172" xfId="45"/>
    <cellStyle name="xl173" xfId="49"/>
    <cellStyle name="xl174" xfId="52"/>
    <cellStyle name="xl175" xfId="56"/>
    <cellStyle name="xl176" xfId="59"/>
    <cellStyle name="xl178" xfId="37"/>
    <cellStyle name="xl179" xfId="43"/>
    <cellStyle name="xl180" xfId="69"/>
    <cellStyle name="xl22" xfId="28"/>
    <cellStyle name="xl23" xfId="38"/>
    <cellStyle name="xl24" xfId="46"/>
    <cellStyle name="xl25" xfId="29"/>
    <cellStyle name="xl26" xfId="57"/>
    <cellStyle name="xl28" xfId="7"/>
    <cellStyle name="xl29" xfId="9"/>
    <cellStyle name="xl30" xfId="11"/>
    <cellStyle name="xl31" xfId="13"/>
    <cellStyle name="xl32" xfId="15"/>
    <cellStyle name="xl33" xfId="17"/>
    <cellStyle name="xl34" xfId="19"/>
    <cellStyle name="xl35" xfId="21"/>
    <cellStyle name="xl36" xfId="25"/>
    <cellStyle name="xl37" xfId="26"/>
    <cellStyle name="xl38" xfId="101"/>
    <cellStyle name="xl42" xfId="104"/>
    <cellStyle name="xl43" xfId="8"/>
    <cellStyle name="xl44" xfId="10"/>
    <cellStyle name="xl45" xfId="12"/>
    <cellStyle name="xl46" xfId="14"/>
    <cellStyle name="xl47" xfId="16"/>
    <cellStyle name="xl48" xfId="18"/>
    <cellStyle name="xl49" xfId="20"/>
    <cellStyle name="xl50" xfId="22"/>
    <cellStyle name="xl51" xfId="23"/>
    <cellStyle name="xl52" xfId="24"/>
    <cellStyle name="xl53" xfId="27"/>
    <cellStyle name="xl64" xfId="39"/>
    <cellStyle name="xl65" xfId="50"/>
    <cellStyle name="xl66" xfId="60"/>
    <cellStyle name="xl67" xfId="68"/>
    <cellStyle name="xl68" xfId="71"/>
    <cellStyle name="xl69" xfId="76"/>
    <cellStyle name="xl70" xfId="80"/>
    <cellStyle name="xl71" xfId="83"/>
    <cellStyle name="xl72" xfId="86"/>
    <cellStyle name="xl73" xfId="70"/>
    <cellStyle name="xl74" xfId="75"/>
    <cellStyle name="xl75" xfId="84"/>
    <cellStyle name="xl76" xfId="85"/>
    <cellStyle name="xl77" xfId="105"/>
    <cellStyle name="xl78" xfId="98"/>
    <cellStyle name="xl79" xfId="99"/>
    <cellStyle name="xl84" xfId="34"/>
    <cellStyle name="xl86" xfId="30"/>
    <cellStyle name="xl87" xfId="32"/>
    <cellStyle name="xl88" xfId="61"/>
    <cellStyle name="xl89" xfId="65"/>
    <cellStyle name="xl92" xfId="87"/>
    <cellStyle name="xl94" xfId="102"/>
    <cellStyle name="Денежный" xfId="1" builtinId="4"/>
    <cellStyle name="Обычный" xfId="0" builtinId="0"/>
    <cellStyle name="Обычный 2" xfId="2"/>
    <cellStyle name="Обычный_Лист1" xfId="3"/>
    <cellStyle name="Обычный_Лист1_1" xfId="4"/>
    <cellStyle name="Обычный_Лист1_2" xfId="5"/>
    <cellStyle name="Финансовый" xfId="6"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Q228"/>
  <sheetViews>
    <sheetView zoomScale="75" workbookViewId="0">
      <selection activeCell="Q16" sqref="Q16"/>
    </sheetView>
  </sheetViews>
  <sheetFormatPr defaultRowHeight="12.75"/>
  <cols>
    <col min="1" max="1" width="57" style="4" customWidth="1"/>
    <col min="2" max="2" width="8.83203125" style="4" customWidth="1"/>
    <col min="3" max="3" width="7.5" style="4" hidden="1" customWidth="1"/>
    <col min="4" max="4" width="12.1640625" style="4" customWidth="1"/>
    <col min="5" max="5" width="18.6640625" style="4" customWidth="1"/>
    <col min="6" max="6" width="13.6640625" style="4" customWidth="1"/>
    <col min="7" max="7" width="18.6640625" style="4" bestFit="1" customWidth="1"/>
    <col min="8" max="8" width="13.6640625" style="4" bestFit="1" customWidth="1"/>
    <col min="9" max="9" width="17.33203125" style="4" customWidth="1"/>
    <col min="10" max="10" width="13.6640625" style="4" bestFit="1" customWidth="1"/>
    <col min="11" max="11" width="15.6640625" style="4" customWidth="1"/>
    <col min="12" max="12" width="13.6640625" style="4" customWidth="1"/>
    <col min="13" max="13" width="17.33203125" style="4" customWidth="1"/>
    <col min="14" max="14" width="10.1640625" style="4" customWidth="1"/>
    <col min="15" max="15" width="15.6640625" style="4" bestFit="1" customWidth="1"/>
    <col min="16" max="16" width="9.5" style="4" customWidth="1"/>
    <col min="17" max="17" width="24.5" style="4" customWidth="1"/>
    <col min="18" max="16384" width="9.33203125" style="4"/>
  </cols>
  <sheetData>
    <row r="1" spans="1:17" ht="15.75" customHeight="1">
      <c r="A1" s="2607" t="s">
        <v>3457</v>
      </c>
      <c r="B1" s="2607"/>
      <c r="C1" s="2607"/>
      <c r="D1" s="2607"/>
      <c r="E1" s="2607"/>
      <c r="F1" s="2607"/>
      <c r="G1" s="2607"/>
      <c r="H1" s="2607"/>
      <c r="I1" s="2607"/>
      <c r="J1" s="2607"/>
      <c r="K1" s="2607"/>
      <c r="L1" s="2607"/>
      <c r="M1" s="2037"/>
      <c r="N1" s="2037"/>
      <c r="O1" s="2037"/>
      <c r="P1" s="2037"/>
    </row>
    <row r="2" spans="1:17" ht="16.5" thickBot="1">
      <c r="A2" s="2607"/>
      <c r="B2" s="2607"/>
      <c r="C2" s="2607"/>
      <c r="D2" s="2607"/>
      <c r="E2" s="2607"/>
      <c r="F2" s="2607"/>
      <c r="G2" s="2607"/>
      <c r="H2" s="2607"/>
      <c r="I2" s="2607"/>
      <c r="J2" s="2607"/>
      <c r="K2" s="2607"/>
      <c r="L2" s="2607"/>
      <c r="M2" s="2036"/>
      <c r="N2" s="2036"/>
      <c r="O2" s="2154"/>
      <c r="P2" s="2060"/>
    </row>
    <row r="3" spans="1:17" ht="15.75" customHeight="1">
      <c r="A3" s="2607"/>
      <c r="B3" s="2607"/>
      <c r="C3" s="2607"/>
      <c r="D3" s="2607"/>
      <c r="E3" s="2607"/>
      <c r="F3" s="2607"/>
      <c r="G3" s="2607"/>
      <c r="H3" s="2607"/>
      <c r="I3" s="2607"/>
      <c r="J3" s="2607"/>
      <c r="K3" s="2607"/>
      <c r="L3" s="2607"/>
      <c r="M3" s="2036"/>
      <c r="N3" s="2038" t="s">
        <v>979</v>
      </c>
      <c r="O3" s="2155"/>
      <c r="P3" s="2061"/>
    </row>
    <row r="4" spans="1:17">
      <c r="A4" s="2607"/>
      <c r="B4" s="2607"/>
      <c r="C4" s="2607"/>
      <c r="D4" s="2607"/>
      <c r="E4" s="2607"/>
      <c r="F4" s="2607"/>
      <c r="G4" s="2607"/>
      <c r="H4" s="2607"/>
      <c r="I4" s="2607"/>
      <c r="J4" s="2607"/>
      <c r="K4" s="2607"/>
      <c r="L4" s="2607"/>
      <c r="M4" s="2037"/>
      <c r="N4" s="2038" t="s">
        <v>656</v>
      </c>
      <c r="O4" s="2156"/>
      <c r="P4" s="2061"/>
    </row>
    <row r="5" spans="1:17" ht="41.25" customHeight="1">
      <c r="A5" s="2621" t="s">
        <v>3345</v>
      </c>
      <c r="B5" s="2622"/>
      <c r="C5" s="2622"/>
      <c r="D5" s="2622"/>
      <c r="E5" s="2039"/>
      <c r="F5" s="2039"/>
      <c r="G5" s="2623" t="s">
        <v>3388</v>
      </c>
      <c r="H5" s="2623"/>
      <c r="I5" s="2623"/>
      <c r="J5" s="2623"/>
      <c r="K5" s="2623"/>
      <c r="L5" s="2623"/>
      <c r="M5" s="2040"/>
      <c r="N5" s="2041" t="s">
        <v>658</v>
      </c>
      <c r="O5" s="2157"/>
      <c r="P5" s="2062"/>
    </row>
    <row r="6" spans="1:17">
      <c r="A6" s="2039" t="s">
        <v>3346</v>
      </c>
      <c r="B6" s="2042" t="s">
        <v>702</v>
      </c>
      <c r="C6" s="2040"/>
      <c r="D6" s="2040"/>
      <c r="E6" s="2040"/>
      <c r="F6" s="2040"/>
      <c r="G6" s="2614"/>
      <c r="H6" s="2614"/>
      <c r="I6" s="2614"/>
      <c r="J6" s="2614"/>
      <c r="K6" s="2614"/>
      <c r="L6" s="2614"/>
      <c r="M6" s="2040"/>
      <c r="N6" s="2041" t="s">
        <v>981</v>
      </c>
      <c r="O6" s="2158"/>
      <c r="P6" s="2063"/>
    </row>
    <row r="7" spans="1:17">
      <c r="A7" s="2035" t="s">
        <v>3347</v>
      </c>
      <c r="B7" s="2043" t="s">
        <v>702</v>
      </c>
      <c r="C7" s="2037"/>
      <c r="D7" s="2037"/>
      <c r="E7" s="2037"/>
      <c r="F7" s="2037"/>
      <c r="G7" s="2044"/>
      <c r="H7" s="2045"/>
      <c r="I7" s="2045"/>
      <c r="J7" s="2045"/>
      <c r="K7" s="2044"/>
      <c r="L7" s="2044"/>
      <c r="M7" s="2037"/>
      <c r="N7" s="2038"/>
      <c r="O7" s="2159"/>
      <c r="P7" s="2061"/>
    </row>
    <row r="8" spans="1:17" s="204" customFormat="1">
      <c r="A8" s="2615" t="s">
        <v>3348</v>
      </c>
      <c r="B8" s="2616"/>
      <c r="C8" s="2616"/>
      <c r="D8" s="2616"/>
      <c r="E8" s="2616"/>
      <c r="F8" s="2037"/>
      <c r="G8" s="2037"/>
      <c r="H8" s="2038"/>
      <c r="I8" s="2038"/>
      <c r="J8" s="2038"/>
      <c r="K8" s="2037"/>
      <c r="L8" s="2037"/>
      <c r="M8" s="2037"/>
      <c r="N8" s="2038" t="s">
        <v>982</v>
      </c>
      <c r="O8" s="2160"/>
      <c r="P8" s="2061"/>
    </row>
    <row r="9" spans="1:17" s="203" customFormat="1" ht="22.5" customHeight="1">
      <c r="A9" s="2630" t="s">
        <v>1368</v>
      </c>
      <c r="B9" s="2632" t="s">
        <v>1014</v>
      </c>
      <c r="C9" s="2634" t="s">
        <v>1463</v>
      </c>
      <c r="D9" s="2635"/>
      <c r="E9" s="2636" t="s">
        <v>3349</v>
      </c>
      <c r="F9" s="2637"/>
      <c r="G9" s="2637"/>
      <c r="H9" s="2637"/>
      <c r="I9" s="2637"/>
      <c r="J9" s="2637"/>
      <c r="K9" s="2642" t="s">
        <v>1016</v>
      </c>
      <c r="L9" s="2643"/>
      <c r="M9" s="2643"/>
      <c r="N9" s="2643"/>
      <c r="O9" s="2643"/>
      <c r="P9" s="2644"/>
    </row>
    <row r="10" spans="1:17" s="203" customFormat="1" ht="43.5" customHeight="1">
      <c r="A10" s="2631"/>
      <c r="B10" s="2633"/>
      <c r="C10" s="2635"/>
      <c r="D10" s="2635"/>
      <c r="E10" s="2638" t="s">
        <v>1017</v>
      </c>
      <c r="F10" s="2639"/>
      <c r="G10" s="2640" t="s">
        <v>1018</v>
      </c>
      <c r="H10" s="2641"/>
      <c r="I10" s="2640" t="s">
        <v>3350</v>
      </c>
      <c r="J10" s="2641"/>
      <c r="K10" s="2608" t="s">
        <v>1017</v>
      </c>
      <c r="L10" s="2609"/>
      <c r="M10" s="2610" t="s">
        <v>1018</v>
      </c>
      <c r="N10" s="2611"/>
      <c r="O10" s="2612" t="s">
        <v>3350</v>
      </c>
      <c r="P10" s="2613"/>
    </row>
    <row r="11" spans="1:17" s="204" customFormat="1" ht="48.75">
      <c r="A11" s="2631"/>
      <c r="B11" s="2633"/>
      <c r="C11" s="2046" t="s">
        <v>3351</v>
      </c>
      <c r="D11" s="2046" t="s">
        <v>3352</v>
      </c>
      <c r="E11" s="2047" t="s">
        <v>659</v>
      </c>
      <c r="F11" s="2048" t="s">
        <v>660</v>
      </c>
      <c r="G11" s="2047" t="s">
        <v>659</v>
      </c>
      <c r="H11" s="2048" t="s">
        <v>660</v>
      </c>
      <c r="I11" s="2047" t="s">
        <v>659</v>
      </c>
      <c r="J11" s="2048" t="s">
        <v>660</v>
      </c>
      <c r="K11" s="2047" t="s">
        <v>659</v>
      </c>
      <c r="L11" s="2048" t="s">
        <v>660</v>
      </c>
      <c r="M11" s="2047" t="s">
        <v>659</v>
      </c>
      <c r="N11" s="2048" t="s">
        <v>660</v>
      </c>
      <c r="O11" s="2064" t="s">
        <v>659</v>
      </c>
      <c r="P11" s="2065" t="s">
        <v>660</v>
      </c>
    </row>
    <row r="12" spans="1:17" s="203" customFormat="1">
      <c r="A12" s="2049">
        <v>1</v>
      </c>
      <c r="B12" s="2050">
        <v>2</v>
      </c>
      <c r="C12" s="2050">
        <v>3</v>
      </c>
      <c r="D12" s="2050">
        <v>4</v>
      </c>
      <c r="E12" s="2050">
        <v>5</v>
      </c>
      <c r="F12" s="2050">
        <v>6</v>
      </c>
      <c r="G12" s="2050">
        <v>19</v>
      </c>
      <c r="H12" s="2050">
        <v>20</v>
      </c>
      <c r="I12" s="2050">
        <v>21</v>
      </c>
      <c r="J12" s="2050">
        <v>22</v>
      </c>
      <c r="K12" s="2050">
        <v>25</v>
      </c>
      <c r="L12" s="2050">
        <v>26</v>
      </c>
      <c r="M12" s="2050">
        <v>39</v>
      </c>
      <c r="N12" s="2050">
        <v>40</v>
      </c>
      <c r="O12" s="2050">
        <v>41</v>
      </c>
      <c r="P12" s="2050">
        <v>42</v>
      </c>
    </row>
    <row r="13" spans="1:17" s="204" customFormat="1" ht="13.5" thickBot="1">
      <c r="A13" s="2624" t="s">
        <v>3353</v>
      </c>
      <c r="B13" s="2625"/>
      <c r="C13" s="2625"/>
      <c r="D13" s="2625"/>
      <c r="E13" s="2626"/>
      <c r="F13" s="2626"/>
      <c r="G13" s="2626"/>
      <c r="H13" s="2626"/>
      <c r="I13" s="2626"/>
      <c r="J13" s="2626"/>
      <c r="K13" s="2626"/>
      <c r="L13" s="2626"/>
      <c r="M13" s="2626"/>
      <c r="N13" s="2626"/>
      <c r="O13" s="2626"/>
      <c r="P13" s="2626"/>
    </row>
    <row r="14" spans="1:17" s="203" customFormat="1" ht="22.5">
      <c r="A14" s="2071" t="s">
        <v>1369</v>
      </c>
      <c r="B14" s="2214" t="s">
        <v>661</v>
      </c>
      <c r="C14" s="2214" t="s">
        <v>3354</v>
      </c>
      <c r="D14" s="2215" t="s">
        <v>3355</v>
      </c>
      <c r="E14" s="2216">
        <f>G14+I14</f>
        <v>67828263.109999999</v>
      </c>
      <c r="F14" s="2217">
        <f>H14+J14</f>
        <v>639000</v>
      </c>
      <c r="G14" s="2218">
        <f>ctr!W4</f>
        <v>31105712.760000002</v>
      </c>
      <c r="H14" s="2218"/>
      <c r="I14" s="2218">
        <f>ctm!K60</f>
        <v>36722550.350000001</v>
      </c>
      <c r="J14" s="2219">
        <f>ctm!L60</f>
        <v>639000</v>
      </c>
      <c r="K14" s="2220">
        <f>N14+O14</f>
        <v>8850183.0300000012</v>
      </c>
      <c r="L14" s="2221">
        <f>O14+P14</f>
        <v>21430325.890000001</v>
      </c>
      <c r="M14" s="2218">
        <f>ctr!X4</f>
        <v>12580142.859999999</v>
      </c>
      <c r="N14" s="2218"/>
      <c r="O14" s="2218">
        <f>ctm!M60</f>
        <v>8850183.0300000012</v>
      </c>
      <c r="P14" s="2219">
        <f>ctr!X4</f>
        <v>12580142.859999999</v>
      </c>
    </row>
    <row r="15" spans="1:17" s="203" customFormat="1">
      <c r="A15" s="2073" t="s">
        <v>1906</v>
      </c>
      <c r="B15" s="2161" t="s">
        <v>702</v>
      </c>
      <c r="C15" s="2162" t="s">
        <v>702</v>
      </c>
      <c r="D15" s="2163" t="s">
        <v>702</v>
      </c>
      <c r="E15" s="2076"/>
      <c r="F15" s="2074"/>
      <c r="G15" s="2077"/>
      <c r="H15" s="2077"/>
      <c r="I15" s="2077"/>
      <c r="J15" s="2078"/>
      <c r="K15" s="2100"/>
      <c r="L15" s="2148"/>
      <c r="M15" s="2077"/>
      <c r="N15" s="2077"/>
      <c r="O15" s="2077"/>
      <c r="P15" s="2078"/>
    </row>
    <row r="16" spans="1:17" s="203" customFormat="1" ht="22.5">
      <c r="A16" s="2052" t="s">
        <v>3392</v>
      </c>
      <c r="B16" s="2164" t="s">
        <v>1909</v>
      </c>
      <c r="C16" s="2164" t="s">
        <v>3354</v>
      </c>
      <c r="D16" s="2165" t="s">
        <v>3356</v>
      </c>
      <c r="E16" s="2079">
        <f t="shared" ref="E16:F19" si="0">G16+I16</f>
        <v>37176456.57</v>
      </c>
      <c r="F16" s="2075">
        <f t="shared" si="0"/>
        <v>262153</v>
      </c>
      <c r="G16" s="2080">
        <f>ctr!W5</f>
        <v>16972413.219999999</v>
      </c>
      <c r="H16" s="2080"/>
      <c r="I16" s="2080">
        <f>ctm!K61</f>
        <v>20204043.350000001</v>
      </c>
      <c r="J16" s="2081">
        <f>ctm!L61</f>
        <v>262153</v>
      </c>
      <c r="K16" s="2101">
        <f t="shared" ref="K16:L19" si="1">M16+O16</f>
        <v>13258616.91</v>
      </c>
      <c r="L16" s="2149">
        <f t="shared" si="1"/>
        <v>88485.71</v>
      </c>
      <c r="M16" s="2080">
        <f>ctr!X5</f>
        <v>8687475.3699999992</v>
      </c>
      <c r="N16" s="2080"/>
      <c r="O16" s="2080">
        <f>ctm!M61</f>
        <v>4571141.540000001</v>
      </c>
      <c r="P16" s="2081">
        <f>ctm!N61</f>
        <v>88485.71</v>
      </c>
      <c r="Q16" s="2605"/>
    </row>
    <row r="17" spans="1:16" s="203" customFormat="1" ht="33.75">
      <c r="A17" s="2072" t="s">
        <v>3393</v>
      </c>
      <c r="B17" s="2166" t="s">
        <v>1910</v>
      </c>
      <c r="C17" s="2166" t="s">
        <v>3354</v>
      </c>
      <c r="D17" s="2167" t="s">
        <v>3355</v>
      </c>
      <c r="E17" s="2082">
        <f t="shared" si="0"/>
        <v>1961110</v>
      </c>
      <c r="F17" s="2141">
        <f t="shared" si="0"/>
        <v>0</v>
      </c>
      <c r="G17" s="2083">
        <f>ctr!W6</f>
        <v>502860</v>
      </c>
      <c r="H17" s="2083"/>
      <c r="I17" s="2083">
        <f>ctm!K62</f>
        <v>1458250</v>
      </c>
      <c r="J17" s="2084">
        <f>ctm!L62</f>
        <v>0</v>
      </c>
      <c r="K17" s="2102">
        <f t="shared" si="1"/>
        <v>577254.22</v>
      </c>
      <c r="L17" s="2150">
        <f t="shared" si="1"/>
        <v>300</v>
      </c>
      <c r="M17" s="2083">
        <f>ctr!X6</f>
        <v>200954.5</v>
      </c>
      <c r="N17" s="2083"/>
      <c r="O17" s="2083">
        <f>ctm!M62</f>
        <v>376299.72</v>
      </c>
      <c r="P17" s="2084">
        <f>ctm!N62</f>
        <v>300</v>
      </c>
    </row>
    <row r="18" spans="1:16" s="203" customFormat="1" ht="33.75">
      <c r="A18" s="2072" t="s">
        <v>3394</v>
      </c>
      <c r="B18" s="2166" t="s">
        <v>1911</v>
      </c>
      <c r="C18" s="2166" t="s">
        <v>3354</v>
      </c>
      <c r="D18" s="2167" t="s">
        <v>3357</v>
      </c>
      <c r="E18" s="2085">
        <f t="shared" si="0"/>
        <v>10755094.43</v>
      </c>
      <c r="F18" s="2142">
        <f t="shared" si="0"/>
        <v>137785</v>
      </c>
      <c r="G18" s="2083">
        <f>ctr!W7</f>
        <v>4794947.43</v>
      </c>
      <c r="H18" s="2083"/>
      <c r="I18" s="2083">
        <f>ctm!K63</f>
        <v>5960147</v>
      </c>
      <c r="J18" s="2084">
        <f>ctm!L63</f>
        <v>137785</v>
      </c>
      <c r="K18" s="2102">
        <f t="shared" si="1"/>
        <v>2513707.15</v>
      </c>
      <c r="L18" s="2150">
        <f t="shared" si="1"/>
        <v>-70879.559999999983</v>
      </c>
      <c r="M18" s="2083">
        <f>ctr!X7</f>
        <v>2495801</v>
      </c>
      <c r="N18" s="2083"/>
      <c r="O18" s="2083">
        <f>ctm!M64</f>
        <v>17906.150000000009</v>
      </c>
      <c r="P18" s="2084">
        <f>ctm!N63</f>
        <v>-70879.559999999983</v>
      </c>
    </row>
    <row r="19" spans="1:16" s="203" customFormat="1" ht="33.75">
      <c r="A19" s="2222" t="s">
        <v>1912</v>
      </c>
      <c r="B19" s="2223" t="s">
        <v>1913</v>
      </c>
      <c r="C19" s="2223" t="s">
        <v>3354</v>
      </c>
      <c r="D19" s="2224" t="s">
        <v>3355</v>
      </c>
      <c r="E19" s="2225">
        <f t="shared" si="0"/>
        <v>639000</v>
      </c>
      <c r="F19" s="2226">
        <f t="shared" si="0"/>
        <v>639000</v>
      </c>
      <c r="G19" s="2227">
        <f>ctr!W8</f>
        <v>0</v>
      </c>
      <c r="H19" s="2227"/>
      <c r="I19" s="2227">
        <f>ctm!K64</f>
        <v>639000</v>
      </c>
      <c r="J19" s="2228">
        <f>ctm!L64</f>
        <v>639000</v>
      </c>
      <c r="K19" s="2229">
        <f t="shared" si="1"/>
        <v>17906.150000000009</v>
      </c>
      <c r="L19" s="2230">
        <f t="shared" si="1"/>
        <v>17906.150000000009</v>
      </c>
      <c r="M19" s="2227">
        <f>ctr!X8</f>
        <v>0</v>
      </c>
      <c r="N19" s="2227"/>
      <c r="O19" s="2227">
        <f>ctm!M64</f>
        <v>17906.150000000009</v>
      </c>
      <c r="P19" s="2228">
        <f>ctm!N64</f>
        <v>17906.150000000009</v>
      </c>
    </row>
    <row r="20" spans="1:16" s="203" customFormat="1">
      <c r="A20" s="2051" t="s">
        <v>1906</v>
      </c>
      <c r="B20" s="2170" t="s">
        <v>702</v>
      </c>
      <c r="C20" s="2171" t="s">
        <v>702</v>
      </c>
      <c r="D20" s="2172" t="s">
        <v>702</v>
      </c>
      <c r="E20" s="2089"/>
      <c r="F20" s="2144"/>
      <c r="G20" s="2090"/>
      <c r="H20" s="2090"/>
      <c r="I20" s="2090"/>
      <c r="J20" s="2091"/>
      <c r="K20" s="2104"/>
      <c r="L20" s="2152"/>
      <c r="M20" s="2090"/>
      <c r="N20" s="2090"/>
      <c r="O20" s="2090"/>
      <c r="P20" s="2091"/>
    </row>
    <row r="21" spans="1:16" s="203" customFormat="1" ht="22.5">
      <c r="A21" s="2052" t="s">
        <v>3395</v>
      </c>
      <c r="B21" s="2173" t="s">
        <v>1914</v>
      </c>
      <c r="C21" s="2164" t="s">
        <v>3354</v>
      </c>
      <c r="D21" s="2165" t="s">
        <v>3356</v>
      </c>
      <c r="E21" s="2092">
        <f>G21+I21</f>
        <v>454705</v>
      </c>
      <c r="F21" s="2145">
        <f>H21+J21</f>
        <v>454705</v>
      </c>
      <c r="G21" s="2080">
        <f>ctr!W9</f>
        <v>0</v>
      </c>
      <c r="H21" s="2080"/>
      <c r="I21" s="2080">
        <f>ctm!K65</f>
        <v>454705</v>
      </c>
      <c r="J21" s="2081">
        <f>ctm!L65</f>
        <v>454705</v>
      </c>
      <c r="K21" s="2101">
        <f t="shared" ref="K21:L24" si="2">M21+O21</f>
        <v>88485.71</v>
      </c>
      <c r="L21" s="2149">
        <f t="shared" si="2"/>
        <v>17906.150000000009</v>
      </c>
      <c r="M21" s="2080">
        <f>ctr!X9</f>
        <v>0</v>
      </c>
      <c r="N21" s="2080"/>
      <c r="O21" s="2080">
        <f>ctm!M65</f>
        <v>88485.71</v>
      </c>
      <c r="P21" s="2081">
        <f>ctm!N64</f>
        <v>17906.150000000009</v>
      </c>
    </row>
    <row r="22" spans="1:16" s="203" customFormat="1" ht="33.75">
      <c r="A22" s="2072" t="s">
        <v>3396</v>
      </c>
      <c r="B22" s="2174" t="s">
        <v>1915</v>
      </c>
      <c r="C22" s="2166" t="s">
        <v>3354</v>
      </c>
      <c r="D22" s="2167" t="s">
        <v>3355</v>
      </c>
      <c r="E22" s="2085">
        <f>G22+I22</f>
        <v>0</v>
      </c>
      <c r="F22" s="2142">
        <f>H22+J22</f>
        <v>0</v>
      </c>
      <c r="G22" s="2083">
        <f>ctr!W10</f>
        <v>0</v>
      </c>
      <c r="H22" s="2083"/>
      <c r="I22" s="2083">
        <f>ctm!K66</f>
        <v>0</v>
      </c>
      <c r="J22" s="2084">
        <f>ctm!L66</f>
        <v>0</v>
      </c>
      <c r="K22" s="2102">
        <f t="shared" si="2"/>
        <v>300</v>
      </c>
      <c r="L22" s="2150">
        <f t="shared" si="2"/>
        <v>300</v>
      </c>
      <c r="M22" s="2083">
        <f>ctr!X10</f>
        <v>0</v>
      </c>
      <c r="N22" s="2083"/>
      <c r="O22" s="2083">
        <f>ctm!M66</f>
        <v>300</v>
      </c>
      <c r="P22" s="2084">
        <f>ctm!N66</f>
        <v>300</v>
      </c>
    </row>
    <row r="23" spans="1:16" s="203" customFormat="1" ht="33.75">
      <c r="A23" s="2072" t="s">
        <v>3397</v>
      </c>
      <c r="B23" s="2166" t="s">
        <v>1916</v>
      </c>
      <c r="C23" s="2166" t="s">
        <v>3354</v>
      </c>
      <c r="D23" s="2167" t="s">
        <v>3357</v>
      </c>
      <c r="E23" s="2085">
        <f>F23+H23</f>
        <v>137785</v>
      </c>
      <c r="F23" s="2142">
        <f>G23+I23</f>
        <v>137785</v>
      </c>
      <c r="G23" s="2083">
        <f>ctr!W11</f>
        <v>0</v>
      </c>
      <c r="H23" s="2083"/>
      <c r="I23" s="2083">
        <f>ctm!K67</f>
        <v>137785</v>
      </c>
      <c r="J23" s="2084">
        <f>ctm!L67</f>
        <v>137785</v>
      </c>
      <c r="K23" s="2102">
        <f t="shared" si="2"/>
        <v>-70879.559999999983</v>
      </c>
      <c r="L23" s="2150">
        <f t="shared" si="2"/>
        <v>107155.02999999998</v>
      </c>
      <c r="M23" s="2083">
        <f>ctr!X11</f>
        <v>0</v>
      </c>
      <c r="N23" s="2083"/>
      <c r="O23" s="2083">
        <f>ctm!M67</f>
        <v>-70879.559999999983</v>
      </c>
      <c r="P23" s="2084">
        <f>ctm!N68</f>
        <v>107155.02999999998</v>
      </c>
    </row>
    <row r="24" spans="1:16" s="203" customFormat="1" ht="22.5">
      <c r="A24" s="2222" t="s">
        <v>3358</v>
      </c>
      <c r="B24" s="2223" t="s">
        <v>1695</v>
      </c>
      <c r="C24" s="2223" t="s">
        <v>3354</v>
      </c>
      <c r="D24" s="2224" t="s">
        <v>3355</v>
      </c>
      <c r="E24" s="2225">
        <f>G24+I24</f>
        <v>936400</v>
      </c>
      <c r="F24" s="2226">
        <f>H24+J24</f>
        <v>0</v>
      </c>
      <c r="G24" s="2227">
        <f>ctr!W12</f>
        <v>936400</v>
      </c>
      <c r="H24" s="2227"/>
      <c r="I24" s="2227"/>
      <c r="J24" s="2228"/>
      <c r="K24" s="2229">
        <f t="shared" si="2"/>
        <v>522664.32</v>
      </c>
      <c r="L24" s="2230">
        <f t="shared" si="2"/>
        <v>0</v>
      </c>
      <c r="M24" s="2231">
        <f>ctr!X12</f>
        <v>522664.32</v>
      </c>
      <c r="N24" s="2227"/>
      <c r="O24" s="2227"/>
      <c r="P24" s="2228"/>
    </row>
    <row r="25" spans="1:16" s="203" customFormat="1">
      <c r="A25" s="2051" t="s">
        <v>1906</v>
      </c>
      <c r="B25" s="2175"/>
      <c r="C25" s="2176"/>
      <c r="D25" s="2177" t="s">
        <v>702</v>
      </c>
      <c r="E25" s="2093"/>
      <c r="F25" s="2146"/>
      <c r="G25" s="2094"/>
      <c r="H25" s="2095"/>
      <c r="I25" s="2090"/>
      <c r="J25" s="2091"/>
      <c r="K25" s="2105"/>
      <c r="L25" s="2153"/>
      <c r="M25" s="2066"/>
      <c r="N25" s="2095"/>
      <c r="O25" s="2090"/>
      <c r="P25" s="2091"/>
    </row>
    <row r="26" spans="1:16" s="203" customFormat="1" ht="22.5">
      <c r="A26" s="2052" t="s">
        <v>3395</v>
      </c>
      <c r="B26" s="2164" t="s">
        <v>1696</v>
      </c>
      <c r="C26" s="2164" t="s">
        <v>3354</v>
      </c>
      <c r="D26" s="2165" t="s">
        <v>3356</v>
      </c>
      <c r="E26" s="2092">
        <f t="shared" ref="E26:F29" si="3">G26+I26</f>
        <v>548788</v>
      </c>
      <c r="F26" s="2145">
        <f t="shared" si="3"/>
        <v>0</v>
      </c>
      <c r="G26" s="2080">
        <f>ctr!W13</f>
        <v>548788</v>
      </c>
      <c r="H26" s="2080"/>
      <c r="I26" s="2080"/>
      <c r="J26" s="2081"/>
      <c r="K26" s="2101">
        <f t="shared" ref="K26:L29" si="4">M26+O26</f>
        <v>375015.54</v>
      </c>
      <c r="L26" s="2149">
        <f t="shared" si="4"/>
        <v>0</v>
      </c>
      <c r="M26" s="2067">
        <f>ctr!X13</f>
        <v>375015.54</v>
      </c>
      <c r="N26" s="2068"/>
      <c r="O26" s="2080"/>
      <c r="P26" s="2081"/>
    </row>
    <row r="27" spans="1:16" s="203" customFormat="1" ht="33.75">
      <c r="A27" s="2072" t="s">
        <v>3396</v>
      </c>
      <c r="B27" s="2168" t="s">
        <v>1697</v>
      </c>
      <c r="C27" s="2168" t="s">
        <v>3354</v>
      </c>
      <c r="D27" s="2169" t="s">
        <v>3355</v>
      </c>
      <c r="E27" s="2086">
        <f t="shared" si="3"/>
        <v>68500</v>
      </c>
      <c r="F27" s="2143">
        <f t="shared" si="3"/>
        <v>0</v>
      </c>
      <c r="G27" s="2087">
        <f>ctr!W14</f>
        <v>68500</v>
      </c>
      <c r="H27" s="2087"/>
      <c r="I27" s="2087"/>
      <c r="J27" s="2088"/>
      <c r="K27" s="2103">
        <f t="shared" si="4"/>
        <v>0</v>
      </c>
      <c r="L27" s="2151">
        <f t="shared" si="4"/>
        <v>0</v>
      </c>
      <c r="M27" s="2069">
        <f>ctr!X14</f>
        <v>0</v>
      </c>
      <c r="N27" s="2087"/>
      <c r="O27" s="2087"/>
      <c r="P27" s="2088"/>
    </row>
    <row r="28" spans="1:16" s="203" customFormat="1" ht="33.75">
      <c r="A28" s="2072" t="s">
        <v>3397</v>
      </c>
      <c r="B28" s="2168" t="s">
        <v>1698</v>
      </c>
      <c r="C28" s="2168" t="s">
        <v>3354</v>
      </c>
      <c r="D28" s="2169" t="s">
        <v>3357</v>
      </c>
      <c r="E28" s="2086">
        <f t="shared" si="3"/>
        <v>165733</v>
      </c>
      <c r="F28" s="2143">
        <f t="shared" si="3"/>
        <v>0</v>
      </c>
      <c r="G28" s="2087">
        <f>ctr!W15</f>
        <v>165733</v>
      </c>
      <c r="H28" s="2087"/>
      <c r="I28" s="2087"/>
      <c r="J28" s="2088"/>
      <c r="K28" s="2103">
        <f t="shared" si="4"/>
        <v>109651.98</v>
      </c>
      <c r="L28" s="2151">
        <f t="shared" si="4"/>
        <v>0</v>
      </c>
      <c r="M28" s="2087">
        <f>ctr!X15</f>
        <v>109651.98</v>
      </c>
      <c r="N28" s="2087"/>
      <c r="O28" s="2087"/>
      <c r="P28" s="2088"/>
    </row>
    <row r="29" spans="1:16" s="203" customFormat="1" ht="33.75">
      <c r="A29" s="2222" t="s">
        <v>3359</v>
      </c>
      <c r="B29" s="2223" t="s">
        <v>333</v>
      </c>
      <c r="C29" s="2223" t="s">
        <v>3354</v>
      </c>
      <c r="D29" s="2224" t="s">
        <v>3355</v>
      </c>
      <c r="E29" s="2225">
        <f t="shared" si="3"/>
        <v>5532200</v>
      </c>
      <c r="F29" s="2226">
        <f t="shared" si="3"/>
        <v>0</v>
      </c>
      <c r="G29" s="2227">
        <f>ctr!W16</f>
        <v>5532200</v>
      </c>
      <c r="H29" s="2227"/>
      <c r="I29" s="2227"/>
      <c r="J29" s="2228"/>
      <c r="K29" s="2229">
        <f t="shared" si="4"/>
        <v>1149233.56</v>
      </c>
      <c r="L29" s="2230">
        <f t="shared" si="4"/>
        <v>0</v>
      </c>
      <c r="M29" s="2227">
        <f>ctr!X16</f>
        <v>1149233.56</v>
      </c>
      <c r="N29" s="2227"/>
      <c r="O29" s="2227"/>
      <c r="P29" s="2228"/>
    </row>
    <row r="30" spans="1:16" s="203" customFormat="1">
      <c r="A30" s="2051" t="s">
        <v>1906</v>
      </c>
      <c r="B30" s="2171" t="s">
        <v>702</v>
      </c>
      <c r="C30" s="2171" t="s">
        <v>702</v>
      </c>
      <c r="D30" s="2178"/>
      <c r="E30" s="2089"/>
      <c r="F30" s="2144"/>
      <c r="G30" s="2090"/>
      <c r="H30" s="2090"/>
      <c r="I30" s="2090"/>
      <c r="J30" s="2091"/>
      <c r="K30" s="2104"/>
      <c r="L30" s="2152"/>
      <c r="M30" s="2090"/>
      <c r="N30" s="2090"/>
      <c r="O30" s="2090"/>
      <c r="P30" s="2091"/>
    </row>
    <row r="31" spans="1:16" s="203" customFormat="1" ht="22.5">
      <c r="A31" s="2052" t="s">
        <v>3395</v>
      </c>
      <c r="B31" s="2164" t="s">
        <v>334</v>
      </c>
      <c r="C31" s="2164" t="s">
        <v>3354</v>
      </c>
      <c r="D31" s="2179">
        <v>121</v>
      </c>
      <c r="E31" s="2092">
        <f t="shared" ref="E31:F33" si="5">G31+I31</f>
        <v>3729257.22</v>
      </c>
      <c r="F31" s="2145">
        <f t="shared" si="5"/>
        <v>0</v>
      </c>
      <c r="G31" s="2080">
        <f>ctr!W17</f>
        <v>3729257.22</v>
      </c>
      <c r="H31" s="2080"/>
      <c r="I31" s="2080"/>
      <c r="J31" s="2081"/>
      <c r="K31" s="2101">
        <f t="shared" ref="K31:K47" si="6">M31+O31</f>
        <v>801055.76</v>
      </c>
      <c r="L31" s="2149">
        <f t="shared" ref="L31:L47" si="7">N31+P31</f>
        <v>0</v>
      </c>
      <c r="M31" s="2080">
        <f>ctr!X17</f>
        <v>801055.76</v>
      </c>
      <c r="N31" s="2080"/>
      <c r="O31" s="2080"/>
      <c r="P31" s="2081"/>
    </row>
    <row r="32" spans="1:16" s="203" customFormat="1" ht="33.75">
      <c r="A32" s="2072" t="s">
        <v>3396</v>
      </c>
      <c r="B32" s="2168" t="s">
        <v>335</v>
      </c>
      <c r="C32" s="2168" t="s">
        <v>3354</v>
      </c>
      <c r="D32" s="2169" t="s">
        <v>3355</v>
      </c>
      <c r="E32" s="2086">
        <f t="shared" si="5"/>
        <v>6400</v>
      </c>
      <c r="F32" s="2143">
        <f t="shared" si="5"/>
        <v>0</v>
      </c>
      <c r="G32" s="2087">
        <f>ctr!W18</f>
        <v>6400</v>
      </c>
      <c r="H32" s="2087"/>
      <c r="I32" s="2087"/>
      <c r="J32" s="2088"/>
      <c r="K32" s="2103">
        <f t="shared" si="6"/>
        <v>0</v>
      </c>
      <c r="L32" s="2151">
        <f t="shared" si="7"/>
        <v>0</v>
      </c>
      <c r="M32" s="2087">
        <f>ctr!X18</f>
        <v>0</v>
      </c>
      <c r="N32" s="2087"/>
      <c r="O32" s="2087"/>
      <c r="P32" s="2088"/>
    </row>
    <row r="33" spans="1:16" s="203" customFormat="1" ht="33.75">
      <c r="A33" s="2072" t="s">
        <v>3397</v>
      </c>
      <c r="B33" s="2168" t="s">
        <v>336</v>
      </c>
      <c r="C33" s="2168" t="s">
        <v>3354</v>
      </c>
      <c r="D33" s="2169" t="s">
        <v>3357</v>
      </c>
      <c r="E33" s="2086">
        <f t="shared" si="5"/>
        <v>1126235.76</v>
      </c>
      <c r="F33" s="2143">
        <f t="shared" si="5"/>
        <v>0</v>
      </c>
      <c r="G33" s="2087">
        <f>ctr!W19</f>
        <v>1126235.76</v>
      </c>
      <c r="H33" s="2087"/>
      <c r="I33" s="2087"/>
      <c r="J33" s="2088"/>
      <c r="K33" s="2103">
        <f t="shared" si="6"/>
        <v>242382.49</v>
      </c>
      <c r="L33" s="2151">
        <f t="shared" si="7"/>
        <v>0</v>
      </c>
      <c r="M33" s="2087">
        <f>ctr!X19</f>
        <v>242382.49</v>
      </c>
      <c r="N33" s="2087"/>
      <c r="O33" s="2087"/>
      <c r="P33" s="2088"/>
    </row>
    <row r="34" spans="1:16" s="203" customFormat="1" ht="22.5">
      <c r="A34" s="2053" t="s">
        <v>2279</v>
      </c>
      <c r="B34" s="2180" t="s">
        <v>2276</v>
      </c>
      <c r="C34" s="2180" t="s">
        <v>3354</v>
      </c>
      <c r="D34" s="2181" t="s">
        <v>3355</v>
      </c>
      <c r="E34" s="2086">
        <f t="shared" ref="E34:F44" si="8">G34+I34</f>
        <v>137436300</v>
      </c>
      <c r="F34" s="2143">
        <f t="shared" si="8"/>
        <v>830000</v>
      </c>
      <c r="G34" s="2087">
        <f>Лист1!D103+Лист1!D104+Лист1!D105+Лист1!D106+Лист1!D107+Лист1!D108+Лист1!D109+Лист1!D110+Лист1!D111+Лист1!D112+Лист1!D113</f>
        <v>136793800</v>
      </c>
      <c r="H34" s="2087">
        <f>Лист1!D103+Лист1!D110</f>
        <v>191000</v>
      </c>
      <c r="I34" s="2087">
        <f>ctm!K68</f>
        <v>642500</v>
      </c>
      <c r="J34" s="2088">
        <f>ctm!L68</f>
        <v>639000</v>
      </c>
      <c r="K34" s="2103">
        <f t="shared" si="6"/>
        <v>29423339.460000005</v>
      </c>
      <c r="L34" s="2151">
        <f t="shared" si="7"/>
        <v>107155.02999999998</v>
      </c>
      <c r="M34" s="2087">
        <f>Лист1!G103+Лист1!G104+Лист1!G105+Лист1!G106+Лист1!G107+Лист1!G108+Лист1!G109+Лист1!G110+Лист1!G111+Лист1!G112+Лист1!G113-1506026.9</f>
        <v>29494219.020000003</v>
      </c>
      <c r="N34" s="2087">
        <f>Лист1!G103+Лист1!G110</f>
        <v>0</v>
      </c>
      <c r="O34" s="2087">
        <f>ctm!M67</f>
        <v>-70879.559999999983</v>
      </c>
      <c r="P34" s="2088">
        <f>ctm!N68</f>
        <v>107155.02999999998</v>
      </c>
    </row>
    <row r="35" spans="1:16" s="203" customFormat="1">
      <c r="A35" s="2053" t="s">
        <v>1907</v>
      </c>
      <c r="B35" s="2180" t="s">
        <v>1908</v>
      </c>
      <c r="C35" s="2182" t="s">
        <v>3354</v>
      </c>
      <c r="D35" s="2181" t="s">
        <v>3355</v>
      </c>
      <c r="E35" s="2086">
        <f t="shared" si="8"/>
        <v>5992190</v>
      </c>
      <c r="F35" s="2143">
        <f t="shared" si="8"/>
        <v>0</v>
      </c>
      <c r="G35" s="2087">
        <f>Лист1!D346</f>
        <v>3005700</v>
      </c>
      <c r="H35" s="2087"/>
      <c r="I35" s="2087">
        <f>ctm!K69</f>
        <v>2986490</v>
      </c>
      <c r="J35" s="2088"/>
      <c r="K35" s="2103">
        <f t="shared" si="6"/>
        <v>281890</v>
      </c>
      <c r="L35" s="2151">
        <f t="shared" si="7"/>
        <v>0</v>
      </c>
      <c r="M35" s="2087">
        <f>Лист1!G346</f>
        <v>0</v>
      </c>
      <c r="N35" s="2087"/>
      <c r="O35" s="2087">
        <f>ctm!M69</f>
        <v>281890</v>
      </c>
      <c r="P35" s="2088"/>
    </row>
    <row r="36" spans="1:16" s="203" customFormat="1">
      <c r="A36" s="2070" t="s">
        <v>3360</v>
      </c>
      <c r="B36" s="2180" t="s">
        <v>303</v>
      </c>
      <c r="C36" s="2182" t="s">
        <v>3361</v>
      </c>
      <c r="D36" s="2181" t="s">
        <v>3355</v>
      </c>
      <c r="E36" s="2086">
        <f t="shared" si="8"/>
        <v>9088717.4299999997</v>
      </c>
      <c r="F36" s="2143">
        <f t="shared" si="8"/>
        <v>0</v>
      </c>
      <c r="G36" s="2087">
        <f>Лист1!D363</f>
        <v>0</v>
      </c>
      <c r="H36" s="2087"/>
      <c r="I36" s="2087">
        <f>ctm!K70</f>
        <v>9088717.4299999997</v>
      </c>
      <c r="J36" s="2088"/>
      <c r="K36" s="2103">
        <f t="shared" si="6"/>
        <v>211508</v>
      </c>
      <c r="L36" s="2151">
        <f t="shared" si="7"/>
        <v>0</v>
      </c>
      <c r="M36" s="2087">
        <f>Лист1!G363</f>
        <v>0</v>
      </c>
      <c r="N36" s="2087"/>
      <c r="O36" s="2087">
        <f>ctm!M70</f>
        <v>211508</v>
      </c>
      <c r="P36" s="2088"/>
    </row>
    <row r="37" spans="1:16" s="203" customFormat="1">
      <c r="A37" s="2070" t="s">
        <v>1371</v>
      </c>
      <c r="B37" s="2180" t="s">
        <v>665</v>
      </c>
      <c r="C37" s="2182" t="s">
        <v>3362</v>
      </c>
      <c r="D37" s="2181" t="s">
        <v>3355</v>
      </c>
      <c r="E37" s="2086">
        <f t="shared" si="8"/>
        <v>3402892.2199999997</v>
      </c>
      <c r="F37" s="2143">
        <f t="shared" si="8"/>
        <v>0</v>
      </c>
      <c r="G37" s="2087">
        <f>Лист1!D374</f>
        <v>0</v>
      </c>
      <c r="H37" s="2087"/>
      <c r="I37" s="2087">
        <f>ctm!K71</f>
        <v>3402892.2199999997</v>
      </c>
      <c r="J37" s="2088"/>
      <c r="K37" s="2103">
        <f t="shared" si="6"/>
        <v>219904.32</v>
      </c>
      <c r="L37" s="2151">
        <f t="shared" si="7"/>
        <v>0</v>
      </c>
      <c r="M37" s="2087">
        <f>Лист1!G363</f>
        <v>0</v>
      </c>
      <c r="N37" s="2087"/>
      <c r="O37" s="2087">
        <f>ctm!M71</f>
        <v>219904.32</v>
      </c>
      <c r="P37" s="2088"/>
    </row>
    <row r="38" spans="1:16" s="203" customFormat="1" ht="22.5">
      <c r="A38" s="2070" t="s">
        <v>3363</v>
      </c>
      <c r="B38" s="2180" t="s">
        <v>3364</v>
      </c>
      <c r="C38" s="2182" t="s">
        <v>3365</v>
      </c>
      <c r="D38" s="2181" t="s">
        <v>3355</v>
      </c>
      <c r="E38" s="2086">
        <f t="shared" si="8"/>
        <v>21852000</v>
      </c>
      <c r="F38" s="2143">
        <f t="shared" si="8"/>
        <v>0</v>
      </c>
      <c r="G38" s="2087">
        <v>21852000</v>
      </c>
      <c r="H38" s="2087"/>
      <c r="I38" s="2087"/>
      <c r="J38" s="2088"/>
      <c r="K38" s="2103">
        <f t="shared" si="6"/>
        <v>5917868.7400000002</v>
      </c>
      <c r="L38" s="2151">
        <f t="shared" si="7"/>
        <v>0</v>
      </c>
      <c r="M38" s="2087">
        <v>5917868.7400000002</v>
      </c>
      <c r="N38" s="2087"/>
      <c r="O38" s="2087"/>
      <c r="P38" s="2088"/>
    </row>
    <row r="39" spans="1:16">
      <c r="A39" s="2070" t="s">
        <v>647</v>
      </c>
      <c r="B39" s="2180" t="s">
        <v>648</v>
      </c>
      <c r="C39" s="2182" t="s">
        <v>3354</v>
      </c>
      <c r="D39" s="2181" t="s">
        <v>3355</v>
      </c>
      <c r="E39" s="2086">
        <f t="shared" si="8"/>
        <v>765000</v>
      </c>
      <c r="F39" s="2143">
        <f t="shared" si="8"/>
        <v>0</v>
      </c>
      <c r="G39" s="2087">
        <v>765000</v>
      </c>
      <c r="H39" s="2087"/>
      <c r="I39" s="2087"/>
      <c r="J39" s="2088"/>
      <c r="K39" s="2103">
        <f t="shared" si="6"/>
        <v>165000</v>
      </c>
      <c r="L39" s="2151">
        <f t="shared" si="7"/>
        <v>0</v>
      </c>
      <c r="M39" s="2087">
        <v>165000</v>
      </c>
      <c r="N39" s="2087"/>
      <c r="O39" s="2087"/>
      <c r="P39" s="2088"/>
    </row>
    <row r="40" spans="1:16">
      <c r="A40" s="2053" t="s">
        <v>2278</v>
      </c>
      <c r="B40" s="2180" t="s">
        <v>2277</v>
      </c>
      <c r="C40" s="2182" t="s">
        <v>3354</v>
      </c>
      <c r="D40" s="2181" t="s">
        <v>3355</v>
      </c>
      <c r="E40" s="2086">
        <f t="shared" si="8"/>
        <v>12268000</v>
      </c>
      <c r="F40" s="2143">
        <f t="shared" si="8"/>
        <v>0</v>
      </c>
      <c r="G40" s="2087">
        <f>Лист1!D578+Лист1!D586</f>
        <v>11630000</v>
      </c>
      <c r="H40" s="2087"/>
      <c r="I40" s="2087">
        <f>ctm!K72</f>
        <v>638000</v>
      </c>
      <c r="J40" s="2088"/>
      <c r="K40" s="2103">
        <f t="shared" si="6"/>
        <v>4670834.95</v>
      </c>
      <c r="L40" s="2151">
        <f t="shared" si="7"/>
        <v>0</v>
      </c>
      <c r="M40" s="2087">
        <f>Лист1!G578+Лист1!G586</f>
        <v>4529328.79</v>
      </c>
      <c r="N40" s="2087"/>
      <c r="O40" s="2087">
        <f>ctm!M72</f>
        <v>141506.16</v>
      </c>
      <c r="P40" s="2088"/>
    </row>
    <row r="41" spans="1:16" ht="22.5">
      <c r="A41" s="2053" t="s">
        <v>650</v>
      </c>
      <c r="B41" s="2180" t="s">
        <v>649</v>
      </c>
      <c r="C41" s="2182" t="s">
        <v>1606</v>
      </c>
      <c r="D41" s="2181" t="s">
        <v>3355</v>
      </c>
      <c r="E41" s="2086">
        <f t="shared" si="8"/>
        <v>9700000</v>
      </c>
      <c r="F41" s="2143">
        <f t="shared" si="8"/>
        <v>0</v>
      </c>
      <c r="G41" s="2087">
        <v>9700000</v>
      </c>
      <c r="H41" s="2087"/>
      <c r="I41" s="2087"/>
      <c r="J41" s="2088"/>
      <c r="K41" s="2103">
        <f t="shared" si="6"/>
        <v>4015310.79</v>
      </c>
      <c r="L41" s="2151">
        <f t="shared" si="7"/>
        <v>0</v>
      </c>
      <c r="M41" s="2087">
        <v>4015310.79</v>
      </c>
      <c r="N41" s="2087"/>
      <c r="O41" s="2087"/>
      <c r="P41" s="2088"/>
    </row>
    <row r="42" spans="1:16" ht="33.75">
      <c r="A42" s="2070" t="s">
        <v>3366</v>
      </c>
      <c r="B42" s="2180" t="s">
        <v>1072</v>
      </c>
      <c r="C42" s="2182" t="s">
        <v>3354</v>
      </c>
      <c r="D42" s="2181" t="s">
        <v>3355</v>
      </c>
      <c r="E42" s="2086">
        <f t="shared" si="8"/>
        <v>73000</v>
      </c>
      <c r="F42" s="2143">
        <f t="shared" si="8"/>
        <v>0</v>
      </c>
      <c r="G42" s="2087">
        <f>Лист1!D216</f>
        <v>50000</v>
      </c>
      <c r="H42" s="2087"/>
      <c r="I42" s="2087">
        <f>ctm!K73</f>
        <v>23000</v>
      </c>
      <c r="J42" s="2088"/>
      <c r="K42" s="2103">
        <f t="shared" si="6"/>
        <v>0</v>
      </c>
      <c r="L42" s="2151">
        <f t="shared" si="7"/>
        <v>0</v>
      </c>
      <c r="M42" s="2087">
        <f>Лист1!G216</f>
        <v>0</v>
      </c>
      <c r="N42" s="2087"/>
      <c r="O42" s="2087">
        <f>ctm!M73</f>
        <v>0</v>
      </c>
      <c r="P42" s="2088"/>
    </row>
    <row r="43" spans="1:16">
      <c r="A43" s="2070" t="s">
        <v>3367</v>
      </c>
      <c r="B43" s="2180" t="s">
        <v>164</v>
      </c>
      <c r="C43" s="2182" t="s">
        <v>3354</v>
      </c>
      <c r="D43" s="2181" t="s">
        <v>3355</v>
      </c>
      <c r="E43" s="2086">
        <f t="shared" si="8"/>
        <v>274397300</v>
      </c>
      <c r="F43" s="2143">
        <f t="shared" si="8"/>
        <v>197400</v>
      </c>
      <c r="G43" s="2087">
        <f>Лист1!D91-Лист1!D114-832900+40000</f>
        <v>228756700</v>
      </c>
      <c r="H43" s="2087">
        <f>Лист1!D103+Лист1!D110+Лист1!D115</f>
        <v>197400</v>
      </c>
      <c r="I43" s="2087">
        <f>ctm!K74</f>
        <v>45640600</v>
      </c>
      <c r="J43" s="2088">
        <f>ctm!L73</f>
        <v>0</v>
      </c>
      <c r="K43" s="2103">
        <f t="shared" si="6"/>
        <v>70026692.100000009</v>
      </c>
      <c r="L43" s="2151">
        <f t="shared" si="7"/>
        <v>107155.02999999998</v>
      </c>
      <c r="M43" s="2087">
        <f>Лист1!G91-Лист1!G114-417866.91-1506026.9</f>
        <v>60905352.110000007</v>
      </c>
      <c r="N43" s="2087">
        <f>Лист1!G103+Лист1!G110+Лист1!G115</f>
        <v>0</v>
      </c>
      <c r="O43" s="2087">
        <f>ctm!M74</f>
        <v>9121339.9899999984</v>
      </c>
      <c r="P43" s="2088">
        <f>ctm!N74</f>
        <v>107155.02999999998</v>
      </c>
    </row>
    <row r="44" spans="1:16" ht="45">
      <c r="A44" s="2232" t="s">
        <v>3368</v>
      </c>
      <c r="B44" s="2168" t="s">
        <v>2231</v>
      </c>
      <c r="C44" s="2183" t="s">
        <v>3354</v>
      </c>
      <c r="D44" s="2184" t="s">
        <v>3355</v>
      </c>
      <c r="E44" s="2086">
        <f t="shared" si="8"/>
        <v>181601500</v>
      </c>
      <c r="F44" s="2143">
        <f t="shared" si="8"/>
        <v>830000</v>
      </c>
      <c r="G44" s="2087">
        <f>Лист1!D103+Лист1!D104+Лист1!D105+Лист1!D106+Лист1!D107+Лист1!D108+Лист1!D109+Лист1!D110+Лист1!D112+Лист1!D113+Лист1!D111-832900</f>
        <v>135960900</v>
      </c>
      <c r="H44" s="2087">
        <f>Лист1!D103+Лист1!D110</f>
        <v>191000</v>
      </c>
      <c r="I44" s="2087">
        <f>ctm!K74</f>
        <v>45640600</v>
      </c>
      <c r="J44" s="2088">
        <f>ctm!L75</f>
        <v>639000</v>
      </c>
      <c r="K44" s="2103">
        <f t="shared" si="6"/>
        <v>38197692.100000001</v>
      </c>
      <c r="L44" s="2151">
        <f t="shared" si="7"/>
        <v>107155.02999999998</v>
      </c>
      <c r="M44" s="2087">
        <f>Лист1!G103+Лист1!G104+Лист1!G105+Лист1!G106+Лист1!G107+Лист1!G108+Лист1!G109+Лист1!G110+Лист1!G111+Лист1!G112+Лист1!G113-417866.91-1506026.9</f>
        <v>29076352.110000003</v>
      </c>
      <c r="N44" s="2087"/>
      <c r="O44" s="2087">
        <f>ctm!M74</f>
        <v>9121339.9899999984</v>
      </c>
      <c r="P44" s="2088">
        <f>ctm!N75</f>
        <v>107155.02999999998</v>
      </c>
    </row>
    <row r="45" spans="1:16" ht="25.5">
      <c r="A45" s="2233" t="s">
        <v>1998</v>
      </c>
      <c r="B45" s="2214" t="s">
        <v>2211</v>
      </c>
      <c r="C45" s="2234" t="s">
        <v>3354</v>
      </c>
      <c r="D45" s="2215" t="s">
        <v>3355</v>
      </c>
      <c r="E45" s="2229" t="s">
        <v>32</v>
      </c>
      <c r="F45" s="2227" t="s">
        <v>32</v>
      </c>
      <c r="G45" s="2227" t="s">
        <v>32</v>
      </c>
      <c r="H45" s="2227" t="s">
        <v>32</v>
      </c>
      <c r="I45" s="2227" t="s">
        <v>32</v>
      </c>
      <c r="J45" s="2228" t="s">
        <v>32</v>
      </c>
      <c r="K45" s="2229">
        <f t="shared" si="6"/>
        <v>6736778.25</v>
      </c>
      <c r="L45" s="2230">
        <f t="shared" si="7"/>
        <v>89248.88</v>
      </c>
      <c r="M45" s="2227">
        <f>Лист1!G667</f>
        <v>1507026.9</v>
      </c>
      <c r="N45" s="2227">
        <f>N46</f>
        <v>0</v>
      </c>
      <c r="O45" s="2227">
        <f>ctm!M76</f>
        <v>5229751.3499999996</v>
      </c>
      <c r="P45" s="2228">
        <f>ctm!N76</f>
        <v>89248.88</v>
      </c>
    </row>
    <row r="46" spans="1:16">
      <c r="A46" s="2054" t="s">
        <v>3386</v>
      </c>
      <c r="B46" s="2164" t="s">
        <v>2212</v>
      </c>
      <c r="C46" s="2173" t="s">
        <v>3354</v>
      </c>
      <c r="D46" s="2185" t="s">
        <v>3355</v>
      </c>
      <c r="E46" s="2101" t="s">
        <v>32</v>
      </c>
      <c r="F46" s="2080" t="s">
        <v>32</v>
      </c>
      <c r="G46" s="2080" t="s">
        <v>32</v>
      </c>
      <c r="H46" s="2080" t="s">
        <v>32</v>
      </c>
      <c r="I46" s="2080" t="s">
        <v>32</v>
      </c>
      <c r="J46" s="2081" t="s">
        <v>32</v>
      </c>
      <c r="K46" s="2101">
        <f t="shared" si="6"/>
        <v>1506026.9</v>
      </c>
      <c r="L46" s="2149">
        <f t="shared" si="7"/>
        <v>89248.88</v>
      </c>
      <c r="M46" s="2080">
        <v>1506026.9</v>
      </c>
      <c r="N46" s="2080"/>
      <c r="O46" s="2080">
        <f>ctm!M77</f>
        <v>0</v>
      </c>
      <c r="P46" s="2081">
        <f>ctm!N76</f>
        <v>89248.88</v>
      </c>
    </row>
    <row r="47" spans="1:16" ht="25.5">
      <c r="A47" s="2233" t="s">
        <v>1999</v>
      </c>
      <c r="B47" s="2214" t="s">
        <v>2213</v>
      </c>
      <c r="C47" s="2234" t="s">
        <v>3354</v>
      </c>
      <c r="D47" s="2215" t="s">
        <v>3355</v>
      </c>
      <c r="E47" s="2229" t="s">
        <v>32</v>
      </c>
      <c r="F47" s="2227" t="s">
        <v>32</v>
      </c>
      <c r="G47" s="2227" t="s">
        <v>32</v>
      </c>
      <c r="H47" s="2227" t="s">
        <v>32</v>
      </c>
      <c r="I47" s="2227" t="s">
        <v>32</v>
      </c>
      <c r="J47" s="2228" t="s">
        <v>32</v>
      </c>
      <c r="K47" s="2229">
        <f t="shared" si="6"/>
        <v>18356710.649999999</v>
      </c>
      <c r="L47" s="2230">
        <f t="shared" si="7"/>
        <v>0</v>
      </c>
      <c r="M47" s="2227">
        <f>ctr!X20</f>
        <v>18356710.649999999</v>
      </c>
      <c r="N47" s="2227"/>
      <c r="O47" s="2227">
        <f>ctm!M78</f>
        <v>0</v>
      </c>
      <c r="P47" s="2228"/>
    </row>
    <row r="48" spans="1:16">
      <c r="A48" s="2054" t="s">
        <v>880</v>
      </c>
      <c r="B48" s="2171" t="s">
        <v>702</v>
      </c>
      <c r="C48" s="2186" t="s">
        <v>702</v>
      </c>
      <c r="D48" s="2187" t="s">
        <v>702</v>
      </c>
      <c r="E48" s="2096"/>
      <c r="F48" s="2147"/>
      <c r="G48" s="2090"/>
      <c r="H48" s="2090"/>
      <c r="I48" s="2090"/>
      <c r="J48" s="2091"/>
      <c r="K48" s="2104"/>
      <c r="L48" s="2152"/>
      <c r="M48" s="2090"/>
      <c r="N48" s="2090"/>
      <c r="O48" s="2090"/>
      <c r="P48" s="2091"/>
    </row>
    <row r="49" spans="1:16">
      <c r="A49" s="2054" t="s">
        <v>3369</v>
      </c>
      <c r="B49" s="2164" t="s">
        <v>2214</v>
      </c>
      <c r="C49" s="2173" t="s">
        <v>3354</v>
      </c>
      <c r="D49" s="2185" t="s">
        <v>3355</v>
      </c>
      <c r="E49" s="2101" t="s">
        <v>32</v>
      </c>
      <c r="F49" s="2080" t="s">
        <v>32</v>
      </c>
      <c r="G49" s="2080" t="s">
        <v>32</v>
      </c>
      <c r="H49" s="2080" t="s">
        <v>32</v>
      </c>
      <c r="I49" s="2080" t="s">
        <v>32</v>
      </c>
      <c r="J49" s="2081" t="s">
        <v>32</v>
      </c>
      <c r="K49" s="2101">
        <f t="shared" ref="K49:L56" si="9">M49+O49</f>
        <v>0</v>
      </c>
      <c r="L49" s="2149">
        <f t="shared" si="9"/>
        <v>0</v>
      </c>
      <c r="M49" s="2080"/>
      <c r="N49" s="2080"/>
      <c r="O49" s="2080">
        <f>ctm!M79</f>
        <v>0</v>
      </c>
      <c r="P49" s="2081"/>
    </row>
    <row r="50" spans="1:16" ht="45">
      <c r="A50" s="2072" t="s">
        <v>3370</v>
      </c>
      <c r="B50" s="2168" t="s">
        <v>2215</v>
      </c>
      <c r="C50" s="2183" t="s">
        <v>3354</v>
      </c>
      <c r="D50" s="2184" t="s">
        <v>3355</v>
      </c>
      <c r="E50" s="2101" t="s">
        <v>32</v>
      </c>
      <c r="F50" s="2080" t="s">
        <v>32</v>
      </c>
      <c r="G50" s="2087" t="s">
        <v>32</v>
      </c>
      <c r="H50" s="2087" t="s">
        <v>32</v>
      </c>
      <c r="I50" s="2087" t="s">
        <v>32</v>
      </c>
      <c r="J50" s="2088" t="s">
        <v>32</v>
      </c>
      <c r="K50" s="2103">
        <f t="shared" si="9"/>
        <v>0</v>
      </c>
      <c r="L50" s="2151">
        <f t="shared" si="9"/>
        <v>0</v>
      </c>
      <c r="M50" s="2087"/>
      <c r="N50" s="2087"/>
      <c r="O50" s="2087">
        <f>ctm!M80</f>
        <v>0</v>
      </c>
      <c r="P50" s="2088"/>
    </row>
    <row r="51" spans="1:16">
      <c r="A51" s="2054" t="s">
        <v>3371</v>
      </c>
      <c r="B51" s="2168" t="s">
        <v>2216</v>
      </c>
      <c r="C51" s="2183" t="s">
        <v>3354</v>
      </c>
      <c r="D51" s="2184" t="s">
        <v>3355</v>
      </c>
      <c r="E51" s="2101" t="s">
        <v>32</v>
      </c>
      <c r="F51" s="2080" t="s">
        <v>32</v>
      </c>
      <c r="G51" s="2087" t="s">
        <v>32</v>
      </c>
      <c r="H51" s="2087" t="s">
        <v>32</v>
      </c>
      <c r="I51" s="2087" t="s">
        <v>32</v>
      </c>
      <c r="J51" s="2088" t="s">
        <v>32</v>
      </c>
      <c r="K51" s="2103">
        <f t="shared" si="9"/>
        <v>9775600.1600000001</v>
      </c>
      <c r="L51" s="2151">
        <f t="shared" si="9"/>
        <v>0</v>
      </c>
      <c r="M51" s="2087">
        <f>ctr!X23</f>
        <v>9775600.1600000001</v>
      </c>
      <c r="N51" s="2087"/>
      <c r="O51" s="2087">
        <f>ctm!M81</f>
        <v>0</v>
      </c>
      <c r="P51" s="2088"/>
    </row>
    <row r="52" spans="1:16" ht="22.5">
      <c r="A52" s="2054" t="s">
        <v>3372</v>
      </c>
      <c r="B52" s="2168" t="s">
        <v>2217</v>
      </c>
      <c r="C52" s="2183" t="s">
        <v>3354</v>
      </c>
      <c r="D52" s="2184" t="s">
        <v>3355</v>
      </c>
      <c r="E52" s="2101" t="s">
        <v>32</v>
      </c>
      <c r="F52" s="2080" t="s">
        <v>32</v>
      </c>
      <c r="G52" s="2087" t="s">
        <v>32</v>
      </c>
      <c r="H52" s="2087" t="s">
        <v>32</v>
      </c>
      <c r="I52" s="2087" t="s">
        <v>32</v>
      </c>
      <c r="J52" s="2088" t="s">
        <v>32</v>
      </c>
      <c r="K52" s="2103">
        <f t="shared" si="9"/>
        <v>0</v>
      </c>
      <c r="L52" s="2151">
        <f t="shared" si="9"/>
        <v>0</v>
      </c>
      <c r="M52" s="2087"/>
      <c r="N52" s="2087"/>
      <c r="O52" s="2087">
        <f>ctm!M82</f>
        <v>0</v>
      </c>
      <c r="P52" s="2088"/>
    </row>
    <row r="53" spans="1:16">
      <c r="A53" s="2054"/>
      <c r="B53" s="2168" t="s">
        <v>3373</v>
      </c>
      <c r="C53" s="2183" t="s">
        <v>3354</v>
      </c>
      <c r="D53" s="2184" t="s">
        <v>3355</v>
      </c>
      <c r="E53" s="2086">
        <f t="shared" ref="E53:F56" si="10">G53+I53</f>
        <v>0</v>
      </c>
      <c r="F53" s="2143">
        <f t="shared" si="10"/>
        <v>0</v>
      </c>
      <c r="G53" s="2087"/>
      <c r="H53" s="2087"/>
      <c r="I53" s="2087"/>
      <c r="J53" s="2088"/>
      <c r="K53" s="2103">
        <f t="shared" si="9"/>
        <v>0</v>
      </c>
      <c r="L53" s="2151">
        <f t="shared" si="9"/>
        <v>0</v>
      </c>
      <c r="M53" s="2087"/>
      <c r="N53" s="2087"/>
      <c r="O53" s="2087"/>
      <c r="P53" s="2088"/>
    </row>
    <row r="54" spans="1:16" ht="33.75">
      <c r="A54" s="2055" t="s">
        <v>3387</v>
      </c>
      <c r="B54" s="2180" t="s">
        <v>3374</v>
      </c>
      <c r="C54" s="2182" t="s">
        <v>3354</v>
      </c>
      <c r="D54" s="2181" t="s">
        <v>3355</v>
      </c>
      <c r="E54" s="2086">
        <f t="shared" si="10"/>
        <v>27456919.649999999</v>
      </c>
      <c r="F54" s="2143">
        <f t="shared" si="10"/>
        <v>0</v>
      </c>
      <c r="G54" s="2087">
        <f>Лист1!D675+Лист1!D676</f>
        <v>0</v>
      </c>
      <c r="H54" s="2087"/>
      <c r="I54" s="2087">
        <f>ctm!K84</f>
        <v>27456919.649999999</v>
      </c>
      <c r="J54" s="2088">
        <f>ctm!L84</f>
        <v>0</v>
      </c>
      <c r="K54" s="2103">
        <f t="shared" si="9"/>
        <v>2909952.96</v>
      </c>
      <c r="L54" s="2151">
        <f t="shared" si="9"/>
        <v>0</v>
      </c>
      <c r="M54" s="2087">
        <f>Лист1!G675+Лист1!G676</f>
        <v>0</v>
      </c>
      <c r="N54" s="2087"/>
      <c r="O54" s="2087">
        <f>ctm!M84</f>
        <v>2909952.96</v>
      </c>
      <c r="P54" s="2088">
        <f>ctm!N84</f>
        <v>0</v>
      </c>
    </row>
    <row r="55" spans="1:16" ht="33.75">
      <c r="A55" s="2055" t="s">
        <v>3451</v>
      </c>
      <c r="B55" s="2180" t="s">
        <v>3450</v>
      </c>
      <c r="C55" s="2182"/>
      <c r="D55" s="2181" t="s">
        <v>3355</v>
      </c>
      <c r="E55" s="2086">
        <f>G55+I55</f>
        <v>0</v>
      </c>
      <c r="F55" s="2143"/>
      <c r="G55" s="2087">
        <f>Лист1!D415</f>
        <v>0</v>
      </c>
      <c r="H55" s="2087"/>
      <c r="I55" s="2087"/>
      <c r="J55" s="2600"/>
      <c r="K55" s="2103">
        <f>M55+O55</f>
        <v>0</v>
      </c>
      <c r="L55" s="2151"/>
      <c r="M55" s="2087">
        <f>Лист1!G415</f>
        <v>0</v>
      </c>
      <c r="N55" s="2087"/>
      <c r="O55" s="2087"/>
      <c r="P55" s="2088"/>
    </row>
    <row r="56" spans="1:16" ht="33.75">
      <c r="A56" s="2071" t="s">
        <v>3375</v>
      </c>
      <c r="B56" s="2214" t="s">
        <v>762</v>
      </c>
      <c r="C56" s="2234" t="s">
        <v>3354</v>
      </c>
      <c r="D56" s="2215" t="s">
        <v>3355</v>
      </c>
      <c r="E56" s="2225">
        <f t="shared" si="10"/>
        <v>136245574</v>
      </c>
      <c r="F56" s="2226">
        <f t="shared" si="10"/>
        <v>0</v>
      </c>
      <c r="G56" s="2227">
        <f>ctr!W26</f>
        <v>136245574</v>
      </c>
      <c r="H56" s="2227"/>
      <c r="I56" s="2227">
        <f>ctm!K85</f>
        <v>0</v>
      </c>
      <c r="J56" s="2227">
        <f>ctm!L85</f>
        <v>0</v>
      </c>
      <c r="K56" s="2229">
        <f t="shared" si="9"/>
        <v>34857748.93</v>
      </c>
      <c r="L56" s="2230">
        <f t="shared" si="9"/>
        <v>0</v>
      </c>
      <c r="M56" s="2227">
        <f>ctr!X26</f>
        <v>34857748.93</v>
      </c>
      <c r="N56" s="2227"/>
      <c r="O56" s="2227">
        <f>ctm!M85</f>
        <v>0</v>
      </c>
      <c r="P56" s="2228">
        <f>ctm!N85</f>
        <v>0</v>
      </c>
    </row>
    <row r="57" spans="1:16">
      <c r="A57" s="2070" t="s">
        <v>1701</v>
      </c>
      <c r="B57" s="2188" t="s">
        <v>702</v>
      </c>
      <c r="C57" s="2170" t="s">
        <v>702</v>
      </c>
      <c r="D57" s="2189" t="s">
        <v>702</v>
      </c>
      <c r="E57" s="2089"/>
      <c r="F57" s="2144"/>
      <c r="G57" s="2090"/>
      <c r="H57" s="2090"/>
      <c r="I57" s="2090"/>
      <c r="J57" s="2091"/>
      <c r="K57" s="2104"/>
      <c r="L57" s="2152"/>
      <c r="M57" s="2090"/>
      <c r="N57" s="2090"/>
      <c r="O57" s="2090"/>
      <c r="P57" s="2091"/>
    </row>
    <row r="58" spans="1:16">
      <c r="A58" s="2235" t="s">
        <v>3376</v>
      </c>
      <c r="B58" s="2164" t="s">
        <v>2100</v>
      </c>
      <c r="C58" s="2173" t="s">
        <v>3365</v>
      </c>
      <c r="D58" s="2185" t="s">
        <v>3355</v>
      </c>
      <c r="E58" s="2092">
        <f t="shared" ref="E58:F61" si="11">G58+I58</f>
        <v>96675200</v>
      </c>
      <c r="F58" s="2145">
        <f t="shared" si="11"/>
        <v>0</v>
      </c>
      <c r="G58" s="2080">
        <f>ctr!W27</f>
        <v>96675200</v>
      </c>
      <c r="H58" s="2080"/>
      <c r="I58" s="2080">
        <f>ctm!K86</f>
        <v>0</v>
      </c>
      <c r="J58" s="2080">
        <f>ctm!L86</f>
        <v>0</v>
      </c>
      <c r="K58" s="2101">
        <f t="shared" ref="K58:L61" si="12">M58+O58</f>
        <v>19604212.59</v>
      </c>
      <c r="L58" s="2149">
        <f t="shared" si="12"/>
        <v>0</v>
      </c>
      <c r="M58" s="2080">
        <f>ctr!X27</f>
        <v>19604212.59</v>
      </c>
      <c r="N58" s="2080"/>
      <c r="O58" s="2080">
        <f>ctm!M85</f>
        <v>0</v>
      </c>
      <c r="P58" s="2081">
        <f>ctm!N86</f>
        <v>0</v>
      </c>
    </row>
    <row r="59" spans="1:16">
      <c r="A59" s="2070" t="s">
        <v>1702</v>
      </c>
      <c r="B59" s="2168" t="s">
        <v>2101</v>
      </c>
      <c r="C59" s="2183" t="s">
        <v>3377</v>
      </c>
      <c r="D59" s="2184" t="s">
        <v>3355</v>
      </c>
      <c r="E59" s="2086">
        <f t="shared" si="11"/>
        <v>8118000</v>
      </c>
      <c r="F59" s="2143">
        <f t="shared" si="11"/>
        <v>0</v>
      </c>
      <c r="G59" s="2087">
        <f>ctr!W28</f>
        <v>8118000</v>
      </c>
      <c r="H59" s="2087"/>
      <c r="I59" s="2087">
        <f>ctm!K88</f>
        <v>0</v>
      </c>
      <c r="J59" s="2087">
        <f>ctm!L87</f>
        <v>0</v>
      </c>
      <c r="K59" s="2103">
        <f t="shared" si="12"/>
        <v>4498157.74</v>
      </c>
      <c r="L59" s="2151">
        <f t="shared" si="12"/>
        <v>0</v>
      </c>
      <c r="M59" s="2087">
        <f>ctr!X28</f>
        <v>4498157.74</v>
      </c>
      <c r="N59" s="2087"/>
      <c r="O59" s="2087">
        <f>ctm!M87</f>
        <v>0</v>
      </c>
      <c r="P59" s="2088">
        <f>ctm!N86</f>
        <v>0</v>
      </c>
    </row>
    <row r="60" spans="1:16">
      <c r="A60" s="2070" t="s">
        <v>2103</v>
      </c>
      <c r="B60" s="2168" t="s">
        <v>2104</v>
      </c>
      <c r="C60" s="2183" t="s">
        <v>3354</v>
      </c>
      <c r="D60" s="2184" t="s">
        <v>3355</v>
      </c>
      <c r="E60" s="2086">
        <f t="shared" si="11"/>
        <v>31452374</v>
      </c>
      <c r="F60" s="2143">
        <f t="shared" si="11"/>
        <v>0</v>
      </c>
      <c r="G60" s="2087">
        <f>ctr!W29</f>
        <v>31452374</v>
      </c>
      <c r="H60" s="2087"/>
      <c r="I60" s="2087">
        <f>ctm!K88</f>
        <v>0</v>
      </c>
      <c r="J60" s="2087">
        <f>ctm!L88</f>
        <v>0</v>
      </c>
      <c r="K60" s="2103">
        <f t="shared" si="12"/>
        <v>10755378.6</v>
      </c>
      <c r="L60" s="2151">
        <f t="shared" si="12"/>
        <v>0</v>
      </c>
      <c r="M60" s="2087">
        <f>ctr!X29</f>
        <v>10755378.6</v>
      </c>
      <c r="N60" s="2087"/>
      <c r="O60" s="2087">
        <f>ctm!M88</f>
        <v>0</v>
      </c>
      <c r="P60" s="2088">
        <f>ctm!N88</f>
        <v>0</v>
      </c>
    </row>
    <row r="61" spans="1:16" ht="68.25" customHeight="1">
      <c r="A61" s="2071" t="s">
        <v>3378</v>
      </c>
      <c r="B61" s="2214" t="s">
        <v>2105</v>
      </c>
      <c r="C61" s="2234" t="s">
        <v>3354</v>
      </c>
      <c r="D61" s="2215" t="s">
        <v>3355</v>
      </c>
      <c r="E61" s="2225">
        <f t="shared" si="11"/>
        <v>41123659</v>
      </c>
      <c r="F61" s="2226">
        <f t="shared" si="11"/>
        <v>0</v>
      </c>
      <c r="G61" s="2227">
        <f>ctr!W30</f>
        <v>41123659</v>
      </c>
      <c r="H61" s="2227"/>
      <c r="I61" s="2227">
        <f>ctm!K89</f>
        <v>0</v>
      </c>
      <c r="J61" s="2228">
        <f>ctm!L89</f>
        <v>0</v>
      </c>
      <c r="K61" s="2229">
        <f t="shared" si="12"/>
        <v>10551305.190000001</v>
      </c>
      <c r="L61" s="2230">
        <f t="shared" si="12"/>
        <v>0</v>
      </c>
      <c r="M61" s="2227">
        <f>ctr!X30</f>
        <v>10551305.190000001</v>
      </c>
      <c r="N61" s="2227"/>
      <c r="O61" s="2227">
        <f>ctm!M89</f>
        <v>0</v>
      </c>
      <c r="P61" s="2228">
        <f>ctm!N89</f>
        <v>0</v>
      </c>
    </row>
    <row r="62" spans="1:16">
      <c r="A62" s="2070" t="s">
        <v>1701</v>
      </c>
      <c r="B62" s="2188" t="s">
        <v>702</v>
      </c>
      <c r="C62" s="2170" t="s">
        <v>702</v>
      </c>
      <c r="D62" s="2189" t="s">
        <v>702</v>
      </c>
      <c r="E62" s="2089"/>
      <c r="F62" s="2144"/>
      <c r="G62" s="2090"/>
      <c r="H62" s="2090"/>
      <c r="I62" s="2090"/>
      <c r="J62" s="2091"/>
      <c r="K62" s="2104"/>
      <c r="L62" s="2152"/>
      <c r="M62" s="2090"/>
      <c r="N62" s="2090"/>
      <c r="O62" s="2090"/>
      <c r="P62" s="2091"/>
    </row>
    <row r="63" spans="1:16">
      <c r="A63" s="2235" t="s">
        <v>3379</v>
      </c>
      <c r="B63" s="2164" t="s">
        <v>2106</v>
      </c>
      <c r="C63" s="2173" t="s">
        <v>3365</v>
      </c>
      <c r="D63" s="2185" t="s">
        <v>3355</v>
      </c>
      <c r="E63" s="2092">
        <f t="shared" ref="E63:F65" si="13">G63+I63</f>
        <v>27927200</v>
      </c>
      <c r="F63" s="2145">
        <f t="shared" si="13"/>
        <v>0</v>
      </c>
      <c r="G63" s="2080">
        <f>ctr!W31</f>
        <v>27927200</v>
      </c>
      <c r="H63" s="2080"/>
      <c r="I63" s="2080">
        <f>ctm!K90</f>
        <v>0</v>
      </c>
      <c r="J63" s="2081">
        <f>ctm!L90</f>
        <v>0</v>
      </c>
      <c r="K63" s="2101">
        <f t="shared" ref="K63:L65" si="14">M63+O63</f>
        <v>5027636.82</v>
      </c>
      <c r="L63" s="2149">
        <f t="shared" si="14"/>
        <v>0</v>
      </c>
      <c r="M63" s="2080">
        <f>ctr!X31</f>
        <v>5027636.82</v>
      </c>
      <c r="N63" s="2080"/>
      <c r="O63" s="2080">
        <f>ctm!M90</f>
        <v>0</v>
      </c>
      <c r="P63" s="2081">
        <f>ctm!N90</f>
        <v>0</v>
      </c>
    </row>
    <row r="64" spans="1:16">
      <c r="A64" s="2070" t="s">
        <v>1702</v>
      </c>
      <c r="B64" s="2168" t="s">
        <v>2107</v>
      </c>
      <c r="C64" s="2183" t="s">
        <v>3377</v>
      </c>
      <c r="D64" s="2184" t="s">
        <v>3355</v>
      </c>
      <c r="E64" s="2086">
        <f t="shared" si="13"/>
        <v>2434200</v>
      </c>
      <c r="F64" s="2143">
        <f t="shared" si="13"/>
        <v>0</v>
      </c>
      <c r="G64" s="2087">
        <f>ctr!W32</f>
        <v>2434200</v>
      </c>
      <c r="H64" s="2087"/>
      <c r="I64" s="2087">
        <f>ctm!K91</f>
        <v>0</v>
      </c>
      <c r="J64" s="2088">
        <f>ctm!L91</f>
        <v>0</v>
      </c>
      <c r="K64" s="2103">
        <f t="shared" si="14"/>
        <v>1654031.76</v>
      </c>
      <c r="L64" s="2151">
        <f t="shared" si="14"/>
        <v>0</v>
      </c>
      <c r="M64" s="2087">
        <f>ctr!X32</f>
        <v>1654031.76</v>
      </c>
      <c r="N64" s="2087"/>
      <c r="O64" s="2087">
        <f>ctm!M91</f>
        <v>0</v>
      </c>
      <c r="P64" s="2088">
        <f>ctm!N91</f>
        <v>0</v>
      </c>
    </row>
    <row r="65" spans="1:16" ht="13.5" thickBot="1">
      <c r="A65" s="2070" t="s">
        <v>2103</v>
      </c>
      <c r="B65" s="2168" t="s">
        <v>2108</v>
      </c>
      <c r="C65" s="2183" t="s">
        <v>3354</v>
      </c>
      <c r="D65" s="2184" t="s">
        <v>3355</v>
      </c>
      <c r="E65" s="2097">
        <f t="shared" si="13"/>
        <v>10762259</v>
      </c>
      <c r="F65" s="2194">
        <f t="shared" si="13"/>
        <v>0</v>
      </c>
      <c r="G65" s="2098">
        <f>ctr!W33</f>
        <v>10762259</v>
      </c>
      <c r="H65" s="2098"/>
      <c r="I65" s="2098">
        <f>ctm!K92</f>
        <v>0</v>
      </c>
      <c r="J65" s="2099">
        <f>ctm!L92</f>
        <v>0</v>
      </c>
      <c r="K65" s="2106">
        <f t="shared" si="14"/>
        <v>3869636.61</v>
      </c>
      <c r="L65" s="2195">
        <f t="shared" si="14"/>
        <v>0</v>
      </c>
      <c r="M65" s="2098">
        <f>ctr!X33</f>
        <v>3869636.61</v>
      </c>
      <c r="N65" s="2098"/>
      <c r="O65" s="2098">
        <f>ctm!M92</f>
        <v>0</v>
      </c>
      <c r="P65" s="2099">
        <f>ctm!N92</f>
        <v>0</v>
      </c>
    </row>
    <row r="66" spans="1:16">
      <c r="A66" s="2627" t="s">
        <v>3380</v>
      </c>
      <c r="B66" s="2628"/>
      <c r="C66" s="2628"/>
      <c r="D66" s="2628"/>
      <c r="E66" s="2629"/>
      <c r="F66" s="2629"/>
      <c r="G66" s="2629"/>
      <c r="H66" s="2629"/>
      <c r="I66" s="2629"/>
      <c r="J66" s="2629"/>
      <c r="K66" s="2629"/>
      <c r="L66" s="2629"/>
      <c r="M66" s="2629"/>
      <c r="N66" s="2629"/>
      <c r="O66" s="2629"/>
      <c r="P66" s="2629"/>
    </row>
    <row r="67" spans="1:16" ht="13.5" thickBot="1">
      <c r="A67" s="2618" t="s">
        <v>3381</v>
      </c>
      <c r="B67" s="2619"/>
      <c r="C67" s="2619"/>
      <c r="D67" s="2619"/>
      <c r="E67" s="2620"/>
      <c r="F67" s="2620"/>
      <c r="G67" s="2620"/>
      <c r="H67" s="2620"/>
      <c r="I67" s="2620"/>
      <c r="J67" s="2620"/>
      <c r="K67" s="2620"/>
      <c r="L67" s="2620"/>
      <c r="M67" s="2620"/>
      <c r="N67" s="2620"/>
      <c r="O67" s="2620"/>
      <c r="P67" s="2620"/>
    </row>
    <row r="68" spans="1:16" ht="67.5">
      <c r="A68" s="2055" t="s">
        <v>3382</v>
      </c>
      <c r="B68" s="2182" t="s">
        <v>846</v>
      </c>
      <c r="C68" s="2182" t="s">
        <v>3354</v>
      </c>
      <c r="D68" s="2181" t="s">
        <v>3355</v>
      </c>
      <c r="E68" s="2126">
        <f t="shared" ref="E68:F70" si="15">G68+I68</f>
        <v>27456919.649999999</v>
      </c>
      <c r="F68" s="2127">
        <f t="shared" si="15"/>
        <v>0</v>
      </c>
      <c r="G68" s="2267">
        <f>G54</f>
        <v>0</v>
      </c>
      <c r="H68" s="2128"/>
      <c r="I68" s="2267">
        <f>I54</f>
        <v>27456919.649999999</v>
      </c>
      <c r="J68" s="2309">
        <f>J54</f>
        <v>0</v>
      </c>
      <c r="K68" s="2199">
        <f>M68+O68</f>
        <v>2909952.96</v>
      </c>
      <c r="L68" s="2200">
        <f>N68+P68</f>
        <v>0</v>
      </c>
      <c r="M68" s="2200">
        <f>M54</f>
        <v>0</v>
      </c>
      <c r="N68" s="2200"/>
      <c r="O68" s="2200">
        <f>O54</f>
        <v>2909952.96</v>
      </c>
      <c r="P68" s="2201">
        <f>P54</f>
        <v>0</v>
      </c>
    </row>
    <row r="69" spans="1:16" ht="27.75" customHeight="1">
      <c r="A69" s="2055" t="s">
        <v>3451</v>
      </c>
      <c r="B69" s="2180" t="s">
        <v>847</v>
      </c>
      <c r="C69" s="2182" t="s">
        <v>3354</v>
      </c>
      <c r="D69" s="2181" t="s">
        <v>3355</v>
      </c>
      <c r="E69" s="2129">
        <f t="shared" si="15"/>
        <v>0</v>
      </c>
      <c r="F69" s="2130">
        <f t="shared" si="15"/>
        <v>0</v>
      </c>
      <c r="G69" s="2269">
        <f>G55</f>
        <v>0</v>
      </c>
      <c r="H69" s="2131"/>
      <c r="I69" s="2131"/>
      <c r="J69" s="2056"/>
      <c r="K69" s="2202">
        <f>M69+O69</f>
        <v>0</v>
      </c>
      <c r="L69" s="2203">
        <f>N69+P69</f>
        <v>0</v>
      </c>
      <c r="M69" s="2203">
        <f>M55</f>
        <v>0</v>
      </c>
      <c r="N69" s="2203"/>
      <c r="O69" s="2203"/>
      <c r="P69" s="2204"/>
    </row>
    <row r="70" spans="1:16">
      <c r="A70" s="2071" t="s">
        <v>3383</v>
      </c>
      <c r="B70" s="2214" t="s">
        <v>1323</v>
      </c>
      <c r="C70" s="2234" t="s">
        <v>3354</v>
      </c>
      <c r="D70" s="2215" t="s">
        <v>3355</v>
      </c>
      <c r="E70" s="2236">
        <f t="shared" si="15"/>
        <v>136245574</v>
      </c>
      <c r="F70" s="2237">
        <f t="shared" si="15"/>
        <v>0</v>
      </c>
      <c r="G70" s="2238">
        <f>G72+G73+G74</f>
        <v>136245574</v>
      </c>
      <c r="H70" s="2238"/>
      <c r="I70" s="2238">
        <f t="shared" ref="I70:J70" si="16">I72+I73+I74</f>
        <v>0</v>
      </c>
      <c r="J70" s="2238">
        <f t="shared" si="16"/>
        <v>0</v>
      </c>
      <c r="K70" s="2239"/>
      <c r="L70" s="2240"/>
      <c r="M70" s="2240">
        <f>SUM(M72:M74)</f>
        <v>34857748.93</v>
      </c>
      <c r="N70" s="2240"/>
      <c r="O70" s="2238">
        <f t="shared" ref="O70:P70" si="17">O72+O73+O74</f>
        <v>0</v>
      </c>
      <c r="P70" s="2238">
        <f t="shared" si="17"/>
        <v>0</v>
      </c>
    </row>
    <row r="71" spans="1:16">
      <c r="A71" s="2057" t="s">
        <v>1701</v>
      </c>
      <c r="B71" s="2188" t="s">
        <v>702</v>
      </c>
      <c r="C71" s="2170" t="s">
        <v>702</v>
      </c>
      <c r="D71" s="2189" t="s">
        <v>702</v>
      </c>
      <c r="E71" s="2132"/>
      <c r="F71" s="2133"/>
      <c r="G71" s="2134"/>
      <c r="H71" s="2134"/>
      <c r="I71" s="2134"/>
      <c r="J71" s="2058"/>
      <c r="K71" s="2205"/>
      <c r="L71" s="2206"/>
      <c r="M71" s="2206"/>
      <c r="N71" s="2206"/>
      <c r="O71" s="2206"/>
      <c r="P71" s="2207"/>
    </row>
    <row r="72" spans="1:16">
      <c r="A72" s="2235" t="s">
        <v>3379</v>
      </c>
      <c r="B72" s="2164" t="s">
        <v>1324</v>
      </c>
      <c r="C72" s="2173" t="s">
        <v>3365</v>
      </c>
      <c r="D72" s="2185" t="s">
        <v>3355</v>
      </c>
      <c r="E72" s="2135">
        <f t="shared" ref="E72:F75" si="18">G72+I72</f>
        <v>96675200</v>
      </c>
      <c r="F72" s="2136">
        <f t="shared" si="18"/>
        <v>0</v>
      </c>
      <c r="G72" s="2268">
        <f>G58</f>
        <v>96675200</v>
      </c>
      <c r="H72" s="2137"/>
      <c r="I72" s="2268">
        <f t="shared" ref="I72:J74" si="19">I58</f>
        <v>0</v>
      </c>
      <c r="J72" s="2310">
        <f t="shared" si="19"/>
        <v>0</v>
      </c>
      <c r="K72" s="2208">
        <f t="shared" ref="K72:L75" si="20">M72+O72</f>
        <v>19604212.59</v>
      </c>
      <c r="L72" s="2209">
        <f t="shared" si="20"/>
        <v>0</v>
      </c>
      <c r="M72" s="2209">
        <f>M58</f>
        <v>19604212.59</v>
      </c>
      <c r="N72" s="2209"/>
      <c r="O72" s="2209">
        <f t="shared" ref="O72:P74" si="21">O58</f>
        <v>0</v>
      </c>
      <c r="P72" s="2210">
        <f t="shared" si="21"/>
        <v>0</v>
      </c>
    </row>
    <row r="73" spans="1:16">
      <c r="A73" s="2235" t="s">
        <v>1702</v>
      </c>
      <c r="B73" s="2168" t="s">
        <v>1325</v>
      </c>
      <c r="C73" s="2183" t="s">
        <v>3377</v>
      </c>
      <c r="D73" s="2184" t="s">
        <v>3355</v>
      </c>
      <c r="E73" s="2129">
        <f t="shared" si="18"/>
        <v>8118000</v>
      </c>
      <c r="F73" s="2130">
        <f t="shared" si="18"/>
        <v>0</v>
      </c>
      <c r="G73" s="2269">
        <f>G59</f>
        <v>8118000</v>
      </c>
      <c r="H73" s="2131"/>
      <c r="I73" s="2269">
        <f t="shared" si="19"/>
        <v>0</v>
      </c>
      <c r="J73" s="2311">
        <f t="shared" si="19"/>
        <v>0</v>
      </c>
      <c r="K73" s="2202">
        <f t="shared" si="20"/>
        <v>4498157.74</v>
      </c>
      <c r="L73" s="2203">
        <f t="shared" si="20"/>
        <v>0</v>
      </c>
      <c r="M73" s="2203">
        <f>M59</f>
        <v>4498157.74</v>
      </c>
      <c r="N73" s="2203"/>
      <c r="O73" s="2203">
        <f t="shared" si="21"/>
        <v>0</v>
      </c>
      <c r="P73" s="2204">
        <f t="shared" si="21"/>
        <v>0</v>
      </c>
    </row>
    <row r="74" spans="1:16">
      <c r="A74" s="2070" t="s">
        <v>2103</v>
      </c>
      <c r="B74" s="2168" t="s">
        <v>3384</v>
      </c>
      <c r="C74" s="2183" t="s">
        <v>3354</v>
      </c>
      <c r="D74" s="2184" t="s">
        <v>3355</v>
      </c>
      <c r="E74" s="2129">
        <f t="shared" si="18"/>
        <v>31452374</v>
      </c>
      <c r="F74" s="2130">
        <f t="shared" si="18"/>
        <v>0</v>
      </c>
      <c r="G74" s="2269">
        <f>G60</f>
        <v>31452374</v>
      </c>
      <c r="H74" s="2131"/>
      <c r="I74" s="2269">
        <f t="shared" si="19"/>
        <v>0</v>
      </c>
      <c r="J74" s="2311">
        <f t="shared" si="19"/>
        <v>0</v>
      </c>
      <c r="K74" s="2202">
        <f t="shared" si="20"/>
        <v>10755378.6</v>
      </c>
      <c r="L74" s="2203">
        <f t="shared" si="20"/>
        <v>0</v>
      </c>
      <c r="M74" s="2203">
        <f>M60</f>
        <v>10755378.6</v>
      </c>
      <c r="N74" s="2203"/>
      <c r="O74" s="2203">
        <f t="shared" si="21"/>
        <v>0</v>
      </c>
      <c r="P74" s="2204">
        <f t="shared" si="21"/>
        <v>0</v>
      </c>
    </row>
    <row r="75" spans="1:16" ht="33.75">
      <c r="A75" s="2071" t="s">
        <v>3378</v>
      </c>
      <c r="B75" s="2214" t="s">
        <v>2013</v>
      </c>
      <c r="C75" s="2234" t="s">
        <v>3354</v>
      </c>
      <c r="D75" s="2215" t="s">
        <v>3355</v>
      </c>
      <c r="E75" s="2236">
        <f t="shared" si="18"/>
        <v>41123659</v>
      </c>
      <c r="F75" s="2237">
        <f t="shared" si="18"/>
        <v>0</v>
      </c>
      <c r="G75" s="2238">
        <f>SUM(G77:G79)</f>
        <v>41123659</v>
      </c>
      <c r="H75" s="2238"/>
      <c r="I75" s="2238">
        <f t="shared" ref="I75:J75" si="22">SUM(I77:I79)</f>
        <v>0</v>
      </c>
      <c r="J75" s="2238">
        <f t="shared" si="22"/>
        <v>0</v>
      </c>
      <c r="K75" s="2239">
        <f t="shared" si="20"/>
        <v>10551305.189999999</v>
      </c>
      <c r="L75" s="2240">
        <f t="shared" si="20"/>
        <v>0</v>
      </c>
      <c r="M75" s="2240">
        <f>SUM(M77:M79)</f>
        <v>10551305.189999999</v>
      </c>
      <c r="N75" s="2240"/>
      <c r="O75" s="2238">
        <f t="shared" ref="O75:P75" si="23">SUM(O77:O79)</f>
        <v>0</v>
      </c>
      <c r="P75" s="2238">
        <f t="shared" si="23"/>
        <v>0</v>
      </c>
    </row>
    <row r="76" spans="1:16">
      <c r="A76" s="2241" t="s">
        <v>1701</v>
      </c>
      <c r="B76" s="2188" t="s">
        <v>702</v>
      </c>
      <c r="C76" s="2170" t="s">
        <v>702</v>
      </c>
      <c r="D76" s="2189" t="s">
        <v>702</v>
      </c>
      <c r="E76" s="2132"/>
      <c r="F76" s="2133"/>
      <c r="G76" s="2134"/>
      <c r="H76" s="2134"/>
      <c r="I76" s="2134"/>
      <c r="J76" s="2058"/>
      <c r="K76" s="2205"/>
      <c r="L76" s="2206"/>
      <c r="M76" s="2206"/>
      <c r="N76" s="2206"/>
      <c r="O76" s="2206"/>
      <c r="P76" s="2207"/>
    </row>
    <row r="77" spans="1:16">
      <c r="A77" s="2070" t="s">
        <v>3379</v>
      </c>
      <c r="B77" s="2164" t="s">
        <v>2014</v>
      </c>
      <c r="C77" s="2173" t="s">
        <v>3365</v>
      </c>
      <c r="D77" s="2185" t="s">
        <v>3355</v>
      </c>
      <c r="E77" s="2135">
        <f t="shared" ref="E77:F79" si="24">G77+I77</f>
        <v>27927200</v>
      </c>
      <c r="F77" s="2136">
        <f t="shared" si="24"/>
        <v>0</v>
      </c>
      <c r="G77" s="2268">
        <f>G63</f>
        <v>27927200</v>
      </c>
      <c r="H77" s="2137"/>
      <c r="I77" s="2268">
        <f>I63</f>
        <v>0</v>
      </c>
      <c r="J77" s="2310">
        <f>J63</f>
        <v>0</v>
      </c>
      <c r="K77" s="2208">
        <f t="shared" ref="K77:L79" si="25">M77+O77</f>
        <v>5027636.82</v>
      </c>
      <c r="L77" s="2209">
        <f t="shared" si="25"/>
        <v>0</v>
      </c>
      <c r="M77" s="2209">
        <f>M63</f>
        <v>5027636.82</v>
      </c>
      <c r="N77" s="2209"/>
      <c r="O77" s="2209">
        <f t="shared" ref="O77:P79" si="26">O63</f>
        <v>0</v>
      </c>
      <c r="P77" s="2210">
        <f t="shared" si="26"/>
        <v>0</v>
      </c>
    </row>
    <row r="78" spans="1:16">
      <c r="A78" s="2242" t="s">
        <v>1702</v>
      </c>
      <c r="B78" s="2190" t="s">
        <v>2015</v>
      </c>
      <c r="C78" s="2191" t="s">
        <v>3377</v>
      </c>
      <c r="D78" s="2196" t="s">
        <v>3355</v>
      </c>
      <c r="E78" s="2138">
        <f t="shared" si="24"/>
        <v>2434200</v>
      </c>
      <c r="F78" s="2059">
        <f t="shared" si="24"/>
        <v>0</v>
      </c>
      <c r="G78" s="2269">
        <f>G64</f>
        <v>2434200</v>
      </c>
      <c r="H78" s="2131"/>
      <c r="I78" s="2269">
        <f>I64</f>
        <v>0</v>
      </c>
      <c r="J78" s="2311">
        <f>J64</f>
        <v>0</v>
      </c>
      <c r="K78" s="2202">
        <f t="shared" si="25"/>
        <v>1654031.76</v>
      </c>
      <c r="L78" s="2203">
        <f t="shared" si="25"/>
        <v>0</v>
      </c>
      <c r="M78" s="2203">
        <f>M64</f>
        <v>1654031.76</v>
      </c>
      <c r="N78" s="2203"/>
      <c r="O78" s="2203">
        <f t="shared" si="26"/>
        <v>0</v>
      </c>
      <c r="P78" s="2204">
        <f t="shared" si="26"/>
        <v>0</v>
      </c>
    </row>
    <row r="79" spans="1:16" ht="13.5" thickBot="1">
      <c r="A79" s="2243" t="s">
        <v>2103</v>
      </c>
      <c r="B79" s="2192" t="s">
        <v>3385</v>
      </c>
      <c r="C79" s="2193" t="s">
        <v>3354</v>
      </c>
      <c r="D79" s="2197" t="s">
        <v>3355</v>
      </c>
      <c r="E79" s="2139">
        <f t="shared" si="24"/>
        <v>10762259</v>
      </c>
      <c r="F79" s="2198">
        <f t="shared" si="24"/>
        <v>0</v>
      </c>
      <c r="G79" s="2270">
        <f>G65</f>
        <v>10762259</v>
      </c>
      <c r="H79" s="2140"/>
      <c r="I79" s="2270">
        <f>I65</f>
        <v>0</v>
      </c>
      <c r="J79" s="2312"/>
      <c r="K79" s="2211">
        <f t="shared" si="25"/>
        <v>3869636.61</v>
      </c>
      <c r="L79" s="2212">
        <f t="shared" si="25"/>
        <v>0</v>
      </c>
      <c r="M79" s="2212">
        <f>M65</f>
        <v>3869636.61</v>
      </c>
      <c r="N79" s="2212"/>
      <c r="O79" s="2212">
        <f t="shared" si="26"/>
        <v>0</v>
      </c>
      <c r="P79" s="2213">
        <f t="shared" si="26"/>
        <v>0</v>
      </c>
    </row>
    <row r="80" spans="1:16" ht="15.75">
      <c r="A80" s="2019"/>
      <c r="B80" s="2018"/>
      <c r="C80" s="2013"/>
      <c r="D80" s="2014"/>
      <c r="E80" s="2107"/>
      <c r="F80" s="2017"/>
      <c r="G80" s="547">
        <f>G16+G56</f>
        <v>153217987.22</v>
      </c>
      <c r="M80" s="547">
        <f>M16+M56</f>
        <v>43545224.299999997</v>
      </c>
    </row>
    <row r="81" spans="1:13" ht="15.75">
      <c r="A81" s="2019"/>
      <c r="B81" s="2018"/>
      <c r="C81" s="2013"/>
      <c r="D81" s="2014"/>
      <c r="E81" s="2107"/>
      <c r="F81" s="2017"/>
      <c r="G81" s="547">
        <f>G18+G61</f>
        <v>45918606.43</v>
      </c>
      <c r="M81" s="547">
        <f>M18+M61</f>
        <v>13047106.190000001</v>
      </c>
    </row>
    <row r="82" spans="1:13" ht="15.75">
      <c r="A82" s="2019" t="s">
        <v>3452</v>
      </c>
      <c r="B82" s="2018"/>
      <c r="C82" s="2013"/>
      <c r="D82" s="2014"/>
      <c r="E82" s="2107"/>
      <c r="F82" s="2017" t="s">
        <v>768</v>
      </c>
    </row>
    <row r="83" spans="1:13" ht="15.75">
      <c r="A83" s="2019"/>
      <c r="B83" s="2018"/>
      <c r="C83" s="2013"/>
      <c r="D83" s="2014"/>
      <c r="E83" s="2107"/>
      <c r="F83" s="2017"/>
    </row>
    <row r="84" spans="1:13" ht="15.75">
      <c r="A84" s="2019" t="s">
        <v>68</v>
      </c>
      <c r="B84" s="2018"/>
      <c r="C84" s="2013"/>
      <c r="D84" s="2014"/>
      <c r="E84" s="2107"/>
      <c r="F84" s="2017" t="s">
        <v>3453</v>
      </c>
    </row>
    <row r="85" spans="1:13" ht="15.75">
      <c r="A85" s="2020"/>
      <c r="B85" s="2021"/>
      <c r="C85" s="2022"/>
      <c r="D85" s="2015"/>
      <c r="E85" s="2107"/>
      <c r="F85" s="2023"/>
    </row>
    <row r="86" spans="1:13" ht="15.75">
      <c r="A86" s="2020"/>
      <c r="B86" s="2021"/>
      <c r="C86" s="2024"/>
      <c r="D86" s="2014"/>
      <c r="E86" s="2107"/>
      <c r="F86" s="2023"/>
    </row>
    <row r="87" spans="1:13" ht="15.75">
      <c r="A87" s="2020"/>
      <c r="B87" s="2021"/>
      <c r="C87" s="2024"/>
      <c r="D87" s="2014"/>
      <c r="E87" s="2107"/>
      <c r="F87" s="2023"/>
    </row>
    <row r="88" spans="1:13" ht="15.75">
      <c r="A88" s="2016"/>
      <c r="B88" s="2025"/>
      <c r="C88" s="2024"/>
      <c r="D88" s="2015"/>
      <c r="E88" s="2107"/>
      <c r="F88" s="2023"/>
    </row>
    <row r="89" spans="1:13" ht="15.75">
      <c r="A89" s="2020"/>
      <c r="B89" s="2021"/>
      <c r="C89" s="2024"/>
      <c r="D89" s="2015"/>
      <c r="E89" s="2107"/>
      <c r="F89" s="2023"/>
    </row>
    <row r="90" spans="1:13" ht="15.75">
      <c r="A90" s="2020"/>
      <c r="B90" s="2021"/>
      <c r="C90" s="2024"/>
      <c r="D90" s="2014"/>
      <c r="E90" s="2107"/>
      <c r="F90" s="2023"/>
    </row>
    <row r="91" spans="1:13" ht="15.75">
      <c r="A91" s="2020"/>
      <c r="B91" s="2021"/>
      <c r="C91" s="2024"/>
      <c r="D91" s="2014"/>
      <c r="E91" s="2107"/>
      <c r="F91" s="2023"/>
    </row>
    <row r="92" spans="1:13" ht="15.75">
      <c r="A92" s="2020"/>
      <c r="B92" s="2021"/>
      <c r="C92" s="2024"/>
      <c r="D92" s="2014"/>
      <c r="E92" s="2107"/>
      <c r="F92" s="2023"/>
    </row>
    <row r="93" spans="1:13" ht="15.75">
      <c r="A93" s="2020"/>
      <c r="B93" s="2021"/>
      <c r="C93" s="2024"/>
      <c r="D93" s="2014"/>
      <c r="E93" s="2030"/>
      <c r="F93" s="2026"/>
    </row>
    <row r="94" spans="1:13" ht="15.75">
      <c r="A94" s="2020"/>
      <c r="B94" s="2021"/>
      <c r="C94" s="2024"/>
      <c r="D94" s="2014"/>
      <c r="E94" s="2030"/>
      <c r="F94" s="2026"/>
    </row>
    <row r="95" spans="1:13" ht="15.75">
      <c r="A95" s="2020"/>
      <c r="B95" s="2021"/>
      <c r="C95" s="2024"/>
      <c r="D95" s="2014"/>
      <c r="E95" s="2030"/>
      <c r="F95" s="2026"/>
    </row>
    <row r="96" spans="1:13" ht="15.75">
      <c r="A96" s="2020"/>
      <c r="B96" s="2021"/>
      <c r="C96" s="2024"/>
      <c r="D96" s="2014"/>
      <c r="E96" s="2030"/>
      <c r="F96" s="2026"/>
    </row>
    <row r="97" spans="1:6" ht="15.75">
      <c r="A97" s="2020"/>
      <c r="B97" s="2025"/>
      <c r="C97" s="2024"/>
      <c r="D97" s="2015"/>
      <c r="E97" s="2030"/>
      <c r="F97" s="2026"/>
    </row>
    <row r="98" spans="1:6" ht="15.75">
      <c r="A98" s="2020"/>
      <c r="B98" s="2021"/>
      <c r="C98" s="2024"/>
      <c r="D98" s="2014"/>
      <c r="E98" s="2030"/>
      <c r="F98" s="2026"/>
    </row>
    <row r="99" spans="1:6" ht="15.75">
      <c r="A99" s="2020"/>
      <c r="B99" s="2021"/>
      <c r="C99" s="2024"/>
      <c r="D99" s="2014"/>
      <c r="E99" s="2030"/>
      <c r="F99" s="2026"/>
    </row>
    <row r="100" spans="1:6" ht="15.75">
      <c r="A100" s="2020"/>
      <c r="B100" s="2021"/>
      <c r="C100" s="2024"/>
      <c r="D100" s="2014"/>
      <c r="E100" s="2030"/>
      <c r="F100" s="2026"/>
    </row>
    <row r="101" spans="1:6" ht="15.75">
      <c r="A101" s="2020"/>
      <c r="B101" s="2021"/>
      <c r="C101" s="2024"/>
      <c r="D101" s="2014"/>
      <c r="E101" s="2030"/>
      <c r="F101" s="2026"/>
    </row>
    <row r="102" spans="1:6" ht="15.75">
      <c r="A102" s="2020"/>
      <c r="B102" s="2021"/>
      <c r="C102" s="2024"/>
      <c r="D102" s="2014"/>
      <c r="E102" s="2030"/>
      <c r="F102" s="2026"/>
    </row>
    <row r="103" spans="1:6" ht="15.75">
      <c r="A103" s="2020"/>
      <c r="B103" s="2021"/>
      <c r="C103" s="2024"/>
      <c r="D103" s="2014"/>
      <c r="E103" s="2030"/>
      <c r="F103" s="2026"/>
    </row>
    <row r="104" spans="1:6" ht="15">
      <c r="A104" s="2027"/>
      <c r="B104" s="2018"/>
      <c r="C104" s="1088"/>
      <c r="D104" s="2014"/>
      <c r="E104" s="2026"/>
      <c r="F104" s="2026"/>
    </row>
    <row r="105" spans="1:6" ht="15">
      <c r="A105" s="2027"/>
      <c r="B105" s="2018"/>
      <c r="C105" s="1088"/>
      <c r="D105" s="2014"/>
      <c r="E105" s="2026"/>
      <c r="F105" s="2026"/>
    </row>
    <row r="106" spans="1:6" ht="15">
      <c r="A106" s="2027"/>
      <c r="B106" s="2018"/>
      <c r="C106" s="1088"/>
      <c r="D106" s="2014"/>
      <c r="E106" s="2026"/>
      <c r="F106" s="2026"/>
    </row>
    <row r="107" spans="1:6" ht="15">
      <c r="A107" s="2027"/>
      <c r="B107" s="2018"/>
      <c r="C107" s="1088"/>
      <c r="D107" s="2014"/>
      <c r="E107" s="2026"/>
      <c r="F107" s="2026"/>
    </row>
    <row r="108" spans="1:6" ht="15.75">
      <c r="A108" s="2027"/>
      <c r="B108" s="2018"/>
      <c r="C108" s="1088"/>
      <c r="D108" s="2014"/>
      <c r="E108" s="2108"/>
      <c r="F108" s="2026"/>
    </row>
    <row r="109" spans="1:6" ht="15.75">
      <c r="A109" s="2027"/>
      <c r="B109" s="2018"/>
      <c r="C109" s="1088"/>
      <c r="D109" s="2014"/>
      <c r="E109" s="2108"/>
      <c r="F109" s="2026"/>
    </row>
    <row r="110" spans="1:6" ht="15.75">
      <c r="A110" s="2033"/>
      <c r="B110" s="2109"/>
      <c r="C110" s="2109"/>
      <c r="D110" s="2109"/>
      <c r="E110" s="2110"/>
      <c r="F110" s="2030"/>
    </row>
    <row r="111" spans="1:6" ht="30" customHeight="1">
      <c r="A111" s="2028"/>
      <c r="B111" s="204"/>
      <c r="C111" s="2029"/>
      <c r="D111" s="2029"/>
      <c r="E111" s="2031"/>
      <c r="F111" s="2026"/>
    </row>
    <row r="112" spans="1:6" ht="14.25">
      <c r="A112" s="2028"/>
      <c r="B112" s="2029"/>
      <c r="C112" s="2029"/>
      <c r="D112" s="2029"/>
      <c r="E112" s="2031"/>
      <c r="F112" s="2026"/>
    </row>
    <row r="113" spans="1:6" ht="14.25">
      <c r="A113" s="2028"/>
      <c r="B113" s="2029"/>
      <c r="C113" s="2029"/>
      <c r="D113" s="2029"/>
      <c r="E113" s="2031"/>
      <c r="F113" s="2026"/>
    </row>
    <row r="114" spans="1:6" ht="14.25">
      <c r="A114" s="2028"/>
      <c r="B114" s="2029"/>
      <c r="C114" s="2029"/>
      <c r="D114" s="2029"/>
      <c r="E114" s="2031"/>
      <c r="F114" s="2026"/>
    </row>
    <row r="115" spans="1:6" ht="15.75">
      <c r="A115" s="2033"/>
      <c r="B115" s="2109"/>
      <c r="C115" s="2109"/>
      <c r="D115" s="2109"/>
      <c r="E115" s="2111"/>
      <c r="F115" s="2107"/>
    </row>
    <row r="116" spans="1:6" ht="14.25">
      <c r="A116" s="2032"/>
      <c r="B116" s="2029"/>
      <c r="C116" s="2029"/>
      <c r="D116" s="2029"/>
      <c r="E116" s="2031"/>
      <c r="F116" s="2026"/>
    </row>
    <row r="117" spans="1:6" ht="14.25">
      <c r="A117" s="2028"/>
      <c r="B117" s="2029"/>
      <c r="C117" s="2029"/>
      <c r="D117" s="2029"/>
      <c r="E117" s="2031"/>
      <c r="F117" s="2026"/>
    </row>
    <row r="118" spans="1:6" ht="14.25">
      <c r="A118" s="2028"/>
      <c r="B118" s="2029"/>
      <c r="C118" s="2029"/>
      <c r="D118" s="2029"/>
      <c r="E118" s="2031"/>
      <c r="F118" s="2026"/>
    </row>
    <row r="119" spans="1:6" ht="14.25">
      <c r="A119" s="2028"/>
      <c r="B119" s="2029"/>
      <c r="C119" s="2029"/>
      <c r="D119" s="2029"/>
      <c r="E119" s="2031"/>
      <c r="F119" s="2026"/>
    </row>
    <row r="120" spans="1:6" ht="15.75">
      <c r="A120" s="2033"/>
      <c r="B120" s="2029"/>
      <c r="C120" s="2029"/>
      <c r="D120" s="2029"/>
      <c r="E120" s="2031"/>
      <c r="F120" s="2026"/>
    </row>
    <row r="121" spans="1:6" ht="14.25">
      <c r="A121" s="2028"/>
      <c r="B121" s="2029"/>
      <c r="C121" s="2029"/>
      <c r="D121" s="2029"/>
      <c r="E121" s="2031"/>
      <c r="F121" s="2026"/>
    </row>
    <row r="122" spans="1:6" ht="14.25">
      <c r="A122" s="2028"/>
      <c r="B122" s="2029"/>
      <c r="C122" s="2029"/>
      <c r="D122" s="2029"/>
      <c r="E122" s="2031"/>
      <c r="F122" s="2026"/>
    </row>
    <row r="123" spans="1:6" ht="14.25">
      <c r="A123" s="2028"/>
      <c r="B123" s="2029"/>
      <c r="C123" s="2029"/>
      <c r="D123" s="2029"/>
      <c r="E123" s="2031"/>
      <c r="F123" s="2026"/>
    </row>
    <row r="124" spans="1:6" ht="14.25">
      <c r="A124" s="2028"/>
      <c r="B124" s="2029"/>
      <c r="C124" s="2029"/>
      <c r="D124" s="2029"/>
      <c r="E124" s="2031"/>
      <c r="F124" s="2026"/>
    </row>
    <row r="125" spans="1:6" ht="14.25">
      <c r="A125" s="2028"/>
      <c r="B125" s="2029"/>
      <c r="C125" s="2029"/>
      <c r="D125" s="2029"/>
      <c r="E125" s="2031"/>
      <c r="F125" s="2026"/>
    </row>
    <row r="126" spans="1:6" ht="14.25">
      <c r="A126" s="2028"/>
      <c r="B126" s="2029"/>
      <c r="C126" s="2029"/>
      <c r="D126" s="2029"/>
      <c r="E126" s="2031"/>
      <c r="F126" s="2026"/>
    </row>
    <row r="127" spans="1:6" ht="27" customHeight="1">
      <c r="A127" s="1175"/>
      <c r="B127" s="2029"/>
      <c r="C127" s="2029"/>
      <c r="D127" s="2029"/>
      <c r="E127" s="2031"/>
      <c r="F127" s="2026"/>
    </row>
    <row r="128" spans="1:6" ht="14.25">
      <c r="A128" s="2028"/>
      <c r="B128" s="2029"/>
      <c r="C128" s="2029"/>
      <c r="D128" s="2029"/>
      <c r="E128" s="2031"/>
      <c r="F128" s="2026"/>
    </row>
    <row r="129" spans="1:6" ht="14.25">
      <c r="A129" s="2028"/>
      <c r="B129" s="2029"/>
      <c r="C129" s="2029"/>
      <c r="D129" s="2029"/>
      <c r="E129" s="2031"/>
      <c r="F129" s="2026"/>
    </row>
    <row r="130" spans="1:6" ht="14.25">
      <c r="A130" s="2028"/>
      <c r="B130" s="2029"/>
      <c r="C130" s="2029"/>
      <c r="D130" s="2029"/>
      <c r="E130" s="2031"/>
      <c r="F130" s="2026"/>
    </row>
    <row r="131" spans="1:6" ht="14.25">
      <c r="A131" s="2028"/>
      <c r="B131" s="2029"/>
      <c r="C131" s="2029"/>
      <c r="D131" s="2029"/>
      <c r="E131" s="2031"/>
      <c r="F131" s="2026"/>
    </row>
    <row r="132" spans="1:6" ht="14.25">
      <c r="A132" s="2028"/>
      <c r="B132" s="2029"/>
      <c r="C132" s="2029"/>
      <c r="D132" s="2029"/>
      <c r="E132" s="2031"/>
      <c r="F132" s="2026"/>
    </row>
    <row r="133" spans="1:6" ht="38.25" customHeight="1">
      <c r="A133" s="2028"/>
      <c r="B133" s="2029"/>
      <c r="C133" s="2029"/>
      <c r="D133" s="2029"/>
      <c r="E133" s="2031"/>
      <c r="F133" s="2026"/>
    </row>
    <row r="134" spans="1:6" ht="14.25">
      <c r="A134" s="2028"/>
      <c r="B134" s="2029"/>
      <c r="C134" s="2029"/>
      <c r="D134" s="2029"/>
      <c r="E134" s="2031"/>
      <c r="F134" s="2026"/>
    </row>
    <row r="135" spans="1:6" ht="14.25">
      <c r="A135" s="2028"/>
      <c r="B135" s="2029"/>
      <c r="C135" s="2029"/>
      <c r="D135" s="2029"/>
      <c r="E135" s="2031"/>
      <c r="F135" s="2026"/>
    </row>
    <row r="136" spans="1:6" ht="14.25">
      <c r="A136" s="2028"/>
      <c r="B136" s="2029"/>
      <c r="C136" s="2029"/>
      <c r="D136" s="2029"/>
      <c r="E136" s="2031"/>
      <c r="F136" s="2026"/>
    </row>
    <row r="137" spans="1:6" ht="14.25">
      <c r="A137" s="2028"/>
      <c r="B137" s="2029"/>
      <c r="C137" s="2029"/>
      <c r="D137" s="2029"/>
      <c r="E137" s="2031"/>
      <c r="F137" s="2026"/>
    </row>
    <row r="138" spans="1:6" ht="14.25">
      <c r="A138" s="2028"/>
      <c r="B138" s="2029"/>
      <c r="C138" s="2029"/>
      <c r="D138" s="2029"/>
      <c r="E138" s="2031"/>
      <c r="F138" s="2026"/>
    </row>
    <row r="139" spans="1:6" ht="16.5" customHeight="1">
      <c r="A139" s="2028"/>
      <c r="B139" s="2034"/>
      <c r="C139" s="2034"/>
      <c r="D139" s="2034"/>
      <c r="E139" s="2031"/>
      <c r="F139" s="2026"/>
    </row>
    <row r="140" spans="1:6" ht="14.25">
      <c r="A140" s="2028"/>
      <c r="B140" s="2034"/>
      <c r="C140" s="2034"/>
      <c r="D140" s="2034"/>
      <c r="E140" s="2031"/>
      <c r="F140" s="2026"/>
    </row>
    <row r="141" spans="1:6" ht="14.25">
      <c r="A141" s="2028"/>
      <c r="B141" s="2034"/>
      <c r="C141" s="2034"/>
      <c r="D141" s="2034"/>
      <c r="E141" s="2031"/>
      <c r="F141" s="2026"/>
    </row>
    <row r="142" spans="1:6" ht="14.25">
      <c r="A142" s="2028"/>
      <c r="B142" s="2034"/>
      <c r="C142" s="2034"/>
      <c r="D142" s="2034"/>
      <c r="E142" s="2031"/>
      <c r="F142" s="2026"/>
    </row>
    <row r="143" spans="1:6" ht="14.25">
      <c r="A143" s="2028"/>
      <c r="B143" s="2034"/>
      <c r="C143" s="2034"/>
      <c r="D143" s="2034"/>
      <c r="E143" s="2031"/>
      <c r="F143" s="2026"/>
    </row>
    <row r="144" spans="1:6" ht="14.25">
      <c r="A144" s="2028"/>
      <c r="B144" s="2034"/>
      <c r="C144" s="2034"/>
      <c r="D144" s="2034"/>
      <c r="E144" s="2031"/>
      <c r="F144" s="2026"/>
    </row>
    <row r="145" spans="1:6" ht="14.25">
      <c r="A145" s="2028"/>
      <c r="B145" s="2034"/>
      <c r="C145" s="2034"/>
      <c r="D145" s="2034"/>
      <c r="E145" s="2031"/>
      <c r="F145" s="2026"/>
    </row>
    <row r="146" spans="1:6" ht="14.25">
      <c r="A146" s="2028"/>
      <c r="B146" s="2034"/>
      <c r="C146" s="2034"/>
      <c r="D146" s="2034"/>
      <c r="E146" s="2031"/>
      <c r="F146" s="2026"/>
    </row>
    <row r="147" spans="1:6">
      <c r="A147" s="2617"/>
      <c r="B147" s="2617"/>
      <c r="C147" s="2617"/>
      <c r="D147" s="2617"/>
      <c r="E147" s="2617"/>
      <c r="F147" s="2617"/>
    </row>
    <row r="148" spans="1:6">
      <c r="A148" s="2617"/>
      <c r="B148" s="2617"/>
      <c r="C148" s="2617"/>
      <c r="D148" s="2617"/>
      <c r="E148" s="2617"/>
      <c r="F148" s="2617"/>
    </row>
    <row r="149" spans="1:6">
      <c r="A149" s="2112"/>
      <c r="B149" s="2112"/>
      <c r="C149" s="2112"/>
      <c r="D149" s="2112"/>
      <c r="E149" s="2112"/>
      <c r="F149" s="2112"/>
    </row>
    <row r="150" spans="1:6">
      <c r="A150" s="2112"/>
      <c r="B150" s="2112"/>
      <c r="C150" s="2112"/>
      <c r="D150" s="2112"/>
      <c r="E150" s="2112"/>
      <c r="F150" s="2112"/>
    </row>
    <row r="151" spans="1:6" ht="14.25">
      <c r="A151" s="2113"/>
      <c r="B151" s="2114"/>
      <c r="C151" s="2114"/>
      <c r="D151" s="2114"/>
      <c r="E151" s="2031"/>
      <c r="F151" s="2026"/>
    </row>
    <row r="152" spans="1:6" ht="14.25">
      <c r="A152" s="2113"/>
      <c r="B152" s="2114"/>
      <c r="C152" s="2114"/>
      <c r="D152" s="2114"/>
      <c r="E152" s="2031"/>
      <c r="F152" s="2026"/>
    </row>
    <row r="153" spans="1:6" ht="14.25">
      <c r="A153" s="2113"/>
      <c r="B153" s="2114"/>
      <c r="C153" s="2114"/>
      <c r="D153" s="2114"/>
      <c r="E153" s="2031"/>
      <c r="F153" s="2026"/>
    </row>
    <row r="154" spans="1:6" ht="14.25">
      <c r="A154" s="2113"/>
      <c r="B154" s="2114"/>
      <c r="C154" s="2114"/>
      <c r="D154" s="2114"/>
      <c r="E154" s="2031"/>
      <c r="F154" s="2026"/>
    </row>
    <row r="155" spans="1:6" ht="14.25">
      <c r="A155" s="2113"/>
      <c r="B155" s="2114"/>
      <c r="C155" s="2114"/>
      <c r="D155" s="2114"/>
      <c r="E155" s="2031"/>
      <c r="F155" s="2026"/>
    </row>
    <row r="156" spans="1:6" ht="14.25">
      <c r="A156" s="2113"/>
      <c r="B156" s="2114"/>
      <c r="C156" s="2114"/>
      <c r="D156" s="2114"/>
      <c r="E156" s="2031"/>
      <c r="F156" s="2026"/>
    </row>
    <row r="157" spans="1:6" ht="14.25">
      <c r="A157" s="2113"/>
      <c r="B157" s="2114"/>
      <c r="C157" s="2114"/>
      <c r="D157" s="2114"/>
      <c r="E157" s="2031"/>
      <c r="F157" s="2026"/>
    </row>
    <row r="158" spans="1:6" ht="14.25">
      <c r="A158" s="2113"/>
      <c r="B158" s="2114"/>
      <c r="C158" s="2114"/>
      <c r="D158" s="2114"/>
      <c r="E158" s="2031"/>
      <c r="F158" s="2026"/>
    </row>
    <row r="159" spans="1:6" ht="14.25">
      <c r="A159" s="2113"/>
      <c r="B159" s="2114"/>
      <c r="C159" s="2114"/>
      <c r="D159" s="2114"/>
      <c r="E159" s="2031"/>
      <c r="F159" s="2026"/>
    </row>
    <row r="160" spans="1:6" ht="14.25">
      <c r="A160" s="2113"/>
      <c r="B160" s="2114"/>
      <c r="C160" s="2114"/>
      <c r="D160" s="2114"/>
      <c r="E160" s="2031"/>
      <c r="F160" s="2026"/>
    </row>
    <row r="161" spans="1:6" ht="14.25">
      <c r="A161" s="2113"/>
      <c r="B161" s="2114"/>
      <c r="C161" s="2114"/>
      <c r="D161" s="2114"/>
      <c r="E161" s="2031"/>
      <c r="F161" s="2026"/>
    </row>
    <row r="162" spans="1:6" ht="14.25">
      <c r="A162" s="2113"/>
      <c r="B162" s="2114"/>
      <c r="C162" s="2114"/>
      <c r="D162" s="2114"/>
      <c r="E162" s="2031"/>
      <c r="F162" s="2026"/>
    </row>
    <row r="163" spans="1:6" ht="14.25">
      <c r="A163" s="2113"/>
      <c r="B163" s="2114"/>
      <c r="C163" s="2114"/>
      <c r="D163" s="2114"/>
      <c r="E163" s="2031"/>
      <c r="F163" s="2026"/>
    </row>
    <row r="164" spans="1:6" ht="14.25">
      <c r="A164" s="2115"/>
      <c r="B164" s="2114"/>
      <c r="C164" s="2114"/>
      <c r="D164" s="2114"/>
      <c r="E164" s="2031"/>
      <c r="F164" s="2116"/>
    </row>
    <row r="165" spans="1:6" ht="14.25">
      <c r="A165" s="2115"/>
      <c r="B165" s="2114"/>
      <c r="C165" s="2114"/>
      <c r="D165" s="2114"/>
      <c r="E165" s="2031"/>
      <c r="F165" s="2116"/>
    </row>
    <row r="166" spans="1:6" ht="14.25">
      <c r="A166" s="2115"/>
      <c r="B166" s="2117"/>
      <c r="C166" s="2118"/>
      <c r="D166" s="2114"/>
      <c r="E166" s="2031"/>
      <c r="F166" s="2119"/>
    </row>
    <row r="167" spans="1:6" ht="14.25">
      <c r="A167" s="2114"/>
      <c r="B167" s="2114"/>
      <c r="C167" s="2114"/>
      <c r="D167" s="2114"/>
      <c r="E167" s="2031"/>
      <c r="F167" s="2119"/>
    </row>
    <row r="168" spans="1:6" ht="14.25">
      <c r="A168" s="2114"/>
      <c r="B168" s="2114"/>
      <c r="C168" s="2114"/>
      <c r="D168" s="2114"/>
      <c r="E168" s="2031"/>
      <c r="F168" s="2119"/>
    </row>
    <row r="169" spans="1:6" ht="28.5" customHeight="1">
      <c r="A169" s="2120"/>
      <c r="B169" s="2120"/>
      <c r="C169" s="2120"/>
      <c r="D169" s="2120"/>
      <c r="E169" s="2031"/>
      <c r="F169" s="2119"/>
    </row>
    <row r="170" spans="1:6" ht="27.75" customHeight="1">
      <c r="A170" s="2120"/>
      <c r="B170" s="2120"/>
      <c r="C170" s="2120"/>
      <c r="D170" s="2120"/>
      <c r="E170" s="2031"/>
      <c r="F170" s="2119"/>
    </row>
    <row r="171" spans="1:6" ht="30" customHeight="1">
      <c r="A171" s="2120"/>
      <c r="B171" s="2120"/>
      <c r="C171" s="2120"/>
      <c r="D171" s="2120"/>
      <c r="E171" s="2031"/>
      <c r="F171" s="2119"/>
    </row>
    <row r="172" spans="1:6" ht="14.25">
      <c r="A172" s="2121"/>
      <c r="B172" s="2121"/>
      <c r="C172" s="2121"/>
      <c r="D172" s="2121"/>
      <c r="E172" s="2031"/>
      <c r="F172" s="204"/>
    </row>
    <row r="173" spans="1:6" ht="14.25">
      <c r="A173" s="2121"/>
      <c r="B173" s="2121"/>
      <c r="C173" s="2121"/>
      <c r="D173" s="2121"/>
      <c r="E173" s="2031"/>
      <c r="F173" s="204"/>
    </row>
    <row r="174" spans="1:6" ht="14.25">
      <c r="A174" s="2121"/>
      <c r="B174" s="2121"/>
      <c r="C174" s="2121"/>
      <c r="D174" s="2121"/>
      <c r="E174" s="2031"/>
      <c r="F174" s="204"/>
    </row>
    <row r="175" spans="1:6" ht="14.25">
      <c r="A175" s="2121"/>
      <c r="B175" s="2121"/>
      <c r="C175" s="2121"/>
      <c r="D175" s="2121"/>
      <c r="E175" s="2031"/>
      <c r="F175" s="204"/>
    </row>
    <row r="176" spans="1:6" ht="14.25">
      <c r="A176" s="2121"/>
      <c r="B176" s="2121"/>
      <c r="C176" s="2121"/>
      <c r="D176" s="2121"/>
      <c r="E176" s="2031"/>
      <c r="F176" s="204"/>
    </row>
    <row r="177" spans="1:6" ht="14.25">
      <c r="A177" s="2121"/>
      <c r="B177" s="2121"/>
      <c r="C177" s="2121"/>
      <c r="D177" s="2121"/>
      <c r="E177" s="2031"/>
      <c r="F177" s="204"/>
    </row>
    <row r="178" spans="1:6" ht="14.25">
      <c r="A178" s="2121"/>
      <c r="B178" s="2121"/>
      <c r="C178" s="2121"/>
      <c r="D178" s="2121"/>
      <c r="E178" s="2031"/>
      <c r="F178" s="204"/>
    </row>
    <row r="179" spans="1:6" ht="14.25">
      <c r="A179" s="2121"/>
      <c r="B179" s="2121"/>
      <c r="C179" s="2121"/>
      <c r="D179" s="2121"/>
      <c r="E179" s="2031"/>
      <c r="F179" s="204"/>
    </row>
    <row r="180" spans="1:6" ht="14.25">
      <c r="A180" s="2121"/>
      <c r="B180" s="2121"/>
      <c r="C180" s="2121"/>
      <c r="D180" s="2121"/>
      <c r="E180" s="2031"/>
      <c r="F180" s="204"/>
    </row>
    <row r="181" spans="1:6" ht="14.25">
      <c r="A181" s="2121"/>
      <c r="B181" s="2121"/>
      <c r="C181" s="2121"/>
      <c r="D181" s="2121"/>
      <c r="E181" s="2031"/>
      <c r="F181" s="204"/>
    </row>
    <row r="182" spans="1:6" ht="14.25">
      <c r="A182" s="2121"/>
      <c r="B182" s="2121"/>
      <c r="C182" s="2121"/>
      <c r="D182" s="2121"/>
      <c r="E182" s="2031"/>
      <c r="F182" s="204"/>
    </row>
    <row r="183" spans="1:6" ht="14.25">
      <c r="A183" s="2121"/>
      <c r="B183" s="2121"/>
      <c r="C183" s="2121"/>
      <c r="D183" s="2121"/>
      <c r="E183" s="2031"/>
      <c r="F183" s="204"/>
    </row>
    <row r="184" spans="1:6" ht="14.25">
      <c r="A184" s="2121"/>
      <c r="B184" s="2121"/>
      <c r="C184" s="2121"/>
      <c r="D184" s="2121"/>
      <c r="E184" s="2031"/>
      <c r="F184" s="204"/>
    </row>
    <row r="185" spans="1:6" ht="14.25">
      <c r="A185" s="2121"/>
      <c r="B185" s="2121"/>
      <c r="C185" s="2121"/>
      <c r="D185" s="2121"/>
      <c r="E185" s="2031"/>
      <c r="F185" s="204"/>
    </row>
    <row r="186" spans="1:6" ht="33" customHeight="1">
      <c r="A186" s="2121"/>
      <c r="B186" s="2121"/>
      <c r="C186" s="2121"/>
      <c r="D186" s="2121"/>
      <c r="E186" s="2031"/>
      <c r="F186" s="204"/>
    </row>
    <row r="187" spans="1:6" ht="14.25">
      <c r="A187" s="2114"/>
      <c r="B187" s="2114"/>
      <c r="C187" s="2114"/>
      <c r="D187" s="2114"/>
      <c r="E187" s="2031"/>
      <c r="F187" s="204"/>
    </row>
    <row r="188" spans="1:6" ht="15">
      <c r="A188" s="2122"/>
      <c r="B188" s="2122"/>
      <c r="C188" s="2122"/>
      <c r="D188" s="2122"/>
      <c r="E188" s="2031"/>
      <c r="F188" s="204"/>
    </row>
    <row r="189" spans="1:6" ht="14.25">
      <c r="A189" s="2114"/>
      <c r="B189" s="2114"/>
      <c r="C189" s="2114"/>
      <c r="D189" s="2114"/>
      <c r="E189" s="2031"/>
      <c r="F189" s="204"/>
    </row>
    <row r="190" spans="1:6" ht="14.25">
      <c r="A190" s="2113"/>
      <c r="B190" s="2114"/>
      <c r="C190" s="2114"/>
      <c r="D190" s="2114"/>
      <c r="E190" s="2031"/>
      <c r="F190" s="204"/>
    </row>
    <row r="191" spans="1:6" ht="14.25">
      <c r="A191" s="2123"/>
      <c r="B191" s="2114"/>
      <c r="C191" s="2114"/>
      <c r="D191" s="2114"/>
      <c r="E191" s="2031"/>
      <c r="F191" s="204"/>
    </row>
    <row r="192" spans="1:6" ht="14.25">
      <c r="A192" s="2114"/>
      <c r="B192" s="2114"/>
      <c r="C192" s="2114"/>
      <c r="D192" s="2114"/>
      <c r="E192" s="2031"/>
      <c r="F192" s="204"/>
    </row>
    <row r="193" spans="1:6" ht="14.25">
      <c r="A193" s="2114"/>
      <c r="B193" s="2114"/>
      <c r="C193" s="2114"/>
      <c r="D193" s="2114"/>
      <c r="E193" s="2031"/>
      <c r="F193" s="204"/>
    </row>
    <row r="194" spans="1:6" ht="14.25">
      <c r="A194" s="2114"/>
      <c r="B194" s="2114"/>
      <c r="C194" s="2114"/>
      <c r="D194" s="2114"/>
      <c r="E194" s="2031"/>
      <c r="F194" s="204"/>
    </row>
    <row r="195" spans="1:6" ht="14.25">
      <c r="A195" s="2114"/>
      <c r="B195" s="2114"/>
      <c r="C195" s="2114"/>
      <c r="D195" s="2114"/>
      <c r="E195" s="2031"/>
      <c r="F195" s="204"/>
    </row>
    <row r="196" spans="1:6" ht="14.25">
      <c r="A196" s="2120"/>
      <c r="B196" s="2114"/>
      <c r="C196" s="2114"/>
      <c r="D196" s="2114"/>
      <c r="E196" s="2031"/>
      <c r="F196" s="204"/>
    </row>
    <row r="197" spans="1:6" ht="14.25">
      <c r="A197" s="2114"/>
      <c r="B197" s="2114"/>
      <c r="C197" s="2114"/>
      <c r="D197" s="2114"/>
      <c r="E197" s="2031"/>
      <c r="F197" s="204"/>
    </row>
    <row r="198" spans="1:6" ht="14.25">
      <c r="A198" s="2114"/>
      <c r="B198" s="2114"/>
      <c r="C198" s="2114"/>
      <c r="D198" s="2114"/>
      <c r="E198" s="2031"/>
      <c r="F198" s="204"/>
    </row>
    <row r="199" spans="1:6" ht="14.25">
      <c r="A199" s="2120"/>
      <c r="B199" s="2114"/>
      <c r="C199" s="2114"/>
      <c r="D199" s="2114"/>
      <c r="E199" s="2031"/>
      <c r="F199" s="204"/>
    </row>
    <row r="200" spans="1:6" ht="14.25">
      <c r="A200" s="2114"/>
      <c r="B200" s="2114"/>
      <c r="C200" s="2114"/>
      <c r="D200" s="2114"/>
      <c r="E200" s="2031"/>
      <c r="F200" s="204"/>
    </row>
    <row r="201" spans="1:6" ht="14.25">
      <c r="A201" s="2114"/>
      <c r="B201" s="2114"/>
      <c r="C201" s="2114"/>
      <c r="D201" s="2114"/>
      <c r="E201" s="2031"/>
      <c r="F201" s="204"/>
    </row>
    <row r="202" spans="1:6" ht="14.25">
      <c r="A202" s="2114"/>
      <c r="B202" s="2114"/>
      <c r="C202" s="2114"/>
      <c r="D202" s="2114"/>
      <c r="E202" s="2031"/>
      <c r="F202" s="204"/>
    </row>
    <row r="203" spans="1:6" ht="14.25">
      <c r="A203" s="2114"/>
      <c r="B203" s="2114"/>
      <c r="C203" s="2114"/>
      <c r="D203" s="2114"/>
      <c r="E203" s="2031"/>
      <c r="F203" s="204"/>
    </row>
    <row r="204" spans="1:6" ht="14.25">
      <c r="A204" s="2114"/>
      <c r="B204" s="2114"/>
      <c r="C204" s="2114"/>
      <c r="D204" s="2114"/>
      <c r="E204" s="2031"/>
      <c r="F204" s="204"/>
    </row>
    <row r="205" spans="1:6" ht="14.25">
      <c r="A205" s="204"/>
      <c r="B205" s="204"/>
      <c r="C205" s="204"/>
      <c r="D205" s="204"/>
      <c r="E205" s="2031"/>
      <c r="F205" s="204"/>
    </row>
    <row r="206" spans="1:6" ht="30.75" customHeight="1">
      <c r="A206" s="2121"/>
      <c r="B206" s="204"/>
      <c r="C206" s="204"/>
      <c r="D206" s="204"/>
      <c r="E206" s="2124"/>
      <c r="F206" s="2125"/>
    </row>
    <row r="207" spans="1:6" ht="15">
      <c r="A207" s="2121"/>
      <c r="B207" s="204"/>
      <c r="C207" s="204"/>
      <c r="D207" s="204"/>
      <c r="E207" s="2124"/>
      <c r="F207" s="2125"/>
    </row>
    <row r="208" spans="1:6" ht="15">
      <c r="A208" s="2121"/>
      <c r="B208" s="204"/>
      <c r="C208" s="204"/>
      <c r="D208" s="204"/>
      <c r="E208" s="2124"/>
      <c r="F208" s="2125"/>
    </row>
    <row r="209" spans="1:6" ht="15">
      <c r="A209" s="2121"/>
      <c r="B209" s="204"/>
      <c r="C209" s="204"/>
      <c r="D209" s="204"/>
      <c r="E209" s="2124"/>
      <c r="F209" s="2125"/>
    </row>
    <row r="210" spans="1:6" ht="26.25" customHeight="1">
      <c r="A210" s="2121"/>
      <c r="B210" s="204"/>
      <c r="C210" s="204"/>
      <c r="D210" s="204"/>
      <c r="E210" s="2124"/>
      <c r="F210" s="2125"/>
    </row>
    <row r="211" spans="1:6" ht="15">
      <c r="A211" s="2121"/>
      <c r="B211" s="204"/>
      <c r="C211" s="204"/>
      <c r="D211" s="204"/>
      <c r="E211" s="2124"/>
      <c r="F211" s="2125"/>
    </row>
    <row r="212" spans="1:6" ht="15">
      <c r="A212" s="2121"/>
      <c r="B212" s="204"/>
      <c r="C212" s="204"/>
      <c r="D212" s="204"/>
      <c r="E212" s="2124"/>
      <c r="F212" s="2125"/>
    </row>
    <row r="213" spans="1:6" ht="15">
      <c r="A213" s="2121"/>
      <c r="B213" s="204"/>
      <c r="C213" s="204"/>
      <c r="D213" s="204"/>
      <c r="E213" s="2124"/>
      <c r="F213" s="2125"/>
    </row>
    <row r="214" spans="1:6" ht="15">
      <c r="A214" s="2121"/>
      <c r="B214" s="204"/>
      <c r="C214" s="204"/>
      <c r="D214" s="204"/>
      <c r="E214" s="2124"/>
      <c r="F214" s="2125"/>
    </row>
    <row r="215" spans="1:6" ht="15">
      <c r="A215" s="2121"/>
      <c r="B215" s="204"/>
      <c r="C215" s="204"/>
      <c r="D215" s="204"/>
      <c r="E215" s="2124"/>
      <c r="F215" s="2125"/>
    </row>
    <row r="216" spans="1:6" ht="15">
      <c r="A216" s="2121"/>
      <c r="B216" s="204"/>
      <c r="C216" s="204"/>
      <c r="D216" s="204"/>
      <c r="E216" s="2124"/>
      <c r="F216" s="2125"/>
    </row>
    <row r="217" spans="1:6" ht="15">
      <c r="A217" s="2121"/>
      <c r="B217" s="204"/>
      <c r="C217" s="204"/>
      <c r="D217" s="204"/>
      <c r="E217" s="2124"/>
      <c r="F217" s="2125"/>
    </row>
    <row r="218" spans="1:6" ht="15">
      <c r="A218" s="2121"/>
      <c r="B218" s="204"/>
      <c r="C218" s="204"/>
      <c r="D218" s="204"/>
      <c r="E218" s="2124"/>
      <c r="F218" s="2125"/>
    </row>
    <row r="219" spans="1:6" ht="15">
      <c r="A219" s="2121"/>
      <c r="B219" s="204"/>
      <c r="C219" s="204"/>
      <c r="D219" s="204"/>
      <c r="E219" s="2124"/>
      <c r="F219" s="2125"/>
    </row>
    <row r="220" spans="1:6" ht="15">
      <c r="A220" s="2121"/>
      <c r="B220" s="204"/>
      <c r="C220" s="204"/>
      <c r="D220" s="204"/>
      <c r="E220" s="2124"/>
      <c r="F220" s="2125"/>
    </row>
    <row r="221" spans="1:6" ht="15">
      <c r="A221" s="2121"/>
      <c r="B221" s="204"/>
      <c r="C221" s="204"/>
      <c r="D221" s="204"/>
      <c r="E221" s="2124"/>
      <c r="F221" s="2125"/>
    </row>
    <row r="222" spans="1:6" ht="15">
      <c r="A222" s="2121"/>
      <c r="B222" s="204"/>
      <c r="C222" s="204"/>
      <c r="D222" s="204"/>
      <c r="E222" s="2124"/>
      <c r="F222" s="2125"/>
    </row>
    <row r="223" spans="1:6" ht="15">
      <c r="A223" s="2121"/>
      <c r="B223" s="204"/>
      <c r="C223" s="204"/>
      <c r="D223" s="204"/>
      <c r="E223" s="2124"/>
      <c r="F223" s="2125"/>
    </row>
    <row r="224" spans="1:6" ht="15">
      <c r="A224" s="2121"/>
      <c r="B224" s="204"/>
      <c r="C224" s="204"/>
      <c r="D224" s="204"/>
      <c r="E224" s="2124"/>
      <c r="F224" s="2125"/>
    </row>
    <row r="225" spans="1:6" ht="15">
      <c r="A225" s="2121"/>
      <c r="B225" s="204"/>
      <c r="C225" s="204"/>
      <c r="D225" s="204"/>
      <c r="E225" s="2124"/>
      <c r="F225" s="2125"/>
    </row>
    <row r="226" spans="1:6">
      <c r="A226" s="1186"/>
    </row>
    <row r="227" spans="1:6">
      <c r="A227" s="1186"/>
    </row>
    <row r="228" spans="1:6">
      <c r="A228" s="1186"/>
    </row>
  </sheetData>
  <mergeCells count="20">
    <mergeCell ref="A147:F148"/>
    <mergeCell ref="A67:P67"/>
    <mergeCell ref="A5:D5"/>
    <mergeCell ref="G5:L5"/>
    <mergeCell ref="A13:P13"/>
    <mergeCell ref="A66:P66"/>
    <mergeCell ref="A9:A11"/>
    <mergeCell ref="B9:B11"/>
    <mergeCell ref="C9:D10"/>
    <mergeCell ref="E9:J9"/>
    <mergeCell ref="E10:F10"/>
    <mergeCell ref="G10:H10"/>
    <mergeCell ref="I10:J10"/>
    <mergeCell ref="K9:P9"/>
    <mergeCell ref="A1:L4"/>
    <mergeCell ref="K10:L10"/>
    <mergeCell ref="M10:N10"/>
    <mergeCell ref="O10:P10"/>
    <mergeCell ref="G6:L6"/>
    <mergeCell ref="A8:E8"/>
  </mergeCells>
  <phoneticPr fontId="4" type="noConversion"/>
  <pageMargins left="0.15748031496062992" right="0.15748031496062992" top="0.39" bottom="3.937007874015748E-2" header="0.39" footer="3.937007874015748E-2"/>
  <pageSetup paperSize="9" scale="71" fitToHeight="0"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Лист10">
    <pageSetUpPr fitToPage="1"/>
  </sheetPr>
  <dimension ref="A1:Q103"/>
  <sheetViews>
    <sheetView topLeftCell="A34" zoomScale="90" workbookViewId="0">
      <pane xSplit="13530" topLeftCell="M1" activePane="topRight"/>
      <selection activeCell="I79" sqref="I79"/>
      <selection pane="topRight" activeCell="P33" sqref="P33"/>
    </sheetView>
  </sheetViews>
  <sheetFormatPr defaultRowHeight="11.25"/>
  <cols>
    <col min="1" max="1" width="9.5" bestFit="1" customWidth="1"/>
    <col min="2" max="2" width="14" bestFit="1" customWidth="1"/>
    <col min="3" max="3" width="15.33203125" customWidth="1"/>
    <col min="4" max="4" width="13.5" customWidth="1"/>
    <col min="5" max="5" width="13.83203125" customWidth="1"/>
    <col min="6" max="6" width="15.83203125" customWidth="1"/>
    <col min="7" max="7" width="15.6640625" customWidth="1"/>
    <col min="8" max="8" width="15.83203125" customWidth="1"/>
    <col min="9" max="9" width="14" bestFit="1" customWidth="1"/>
    <col min="10" max="10" width="17.33203125" customWidth="1"/>
    <col min="11" max="11" width="13.83203125" bestFit="1" customWidth="1"/>
    <col min="12" max="14" width="13.83203125" customWidth="1"/>
    <col min="15" max="15" width="15" customWidth="1"/>
    <col min="16" max="16" width="15.33203125" bestFit="1" customWidth="1"/>
    <col min="17" max="17" width="15.33203125" customWidth="1"/>
  </cols>
  <sheetData>
    <row r="1" spans="1:15">
      <c r="B1" t="s">
        <v>687</v>
      </c>
      <c r="C1" t="s">
        <v>688</v>
      </c>
    </row>
    <row r="3" spans="1:15">
      <c r="A3" s="12"/>
      <c r="B3" s="12">
        <v>100</v>
      </c>
      <c r="C3" s="12">
        <v>200</v>
      </c>
      <c r="D3" s="12">
        <v>300</v>
      </c>
      <c r="E3" s="12">
        <v>400</v>
      </c>
      <c r="F3" s="12">
        <v>500</v>
      </c>
      <c r="G3" s="12">
        <v>700</v>
      </c>
      <c r="H3" s="12">
        <v>800</v>
      </c>
      <c r="I3" s="12">
        <v>900</v>
      </c>
      <c r="J3" s="12">
        <v>1000</v>
      </c>
      <c r="K3" s="12">
        <v>1101</v>
      </c>
      <c r="L3" s="12">
        <v>1105</v>
      </c>
      <c r="M3" s="12">
        <v>1301</v>
      </c>
      <c r="N3" s="12">
        <v>1403</v>
      </c>
      <c r="O3" s="12" t="s">
        <v>66</v>
      </c>
    </row>
    <row r="4" spans="1:15">
      <c r="A4" s="12">
        <v>211</v>
      </c>
      <c r="B4" s="8">
        <f>Лист1!G134</f>
        <v>12800703.91</v>
      </c>
      <c r="C4" s="8"/>
      <c r="D4" s="8">
        <f>Лист1!G253</f>
        <v>277678.56</v>
      </c>
      <c r="E4" s="8">
        <f>Лист1!G310</f>
        <v>5724.01</v>
      </c>
      <c r="F4" s="8"/>
      <c r="G4" s="8">
        <f>Лист1!G398</f>
        <v>24835512.629999999</v>
      </c>
      <c r="H4" s="8">
        <f>Лист1!G494</f>
        <v>5352457.74</v>
      </c>
      <c r="I4" s="8"/>
      <c r="J4" s="8">
        <f>Лист1!G563</f>
        <v>273147.44999999995</v>
      </c>
      <c r="K4" s="8"/>
      <c r="L4" s="8"/>
      <c r="M4" s="8"/>
      <c r="N4" s="8"/>
      <c r="O4" s="395">
        <f>SUM(B4:N4)</f>
        <v>43545224.300000004</v>
      </c>
    </row>
    <row r="5" spans="1:15">
      <c r="A5" s="12">
        <v>212</v>
      </c>
      <c r="B5" s="8">
        <f>Лист1!G135</f>
        <v>216234.5</v>
      </c>
      <c r="C5" s="8"/>
      <c r="D5" s="8">
        <f>Лист1!G255</f>
        <v>0</v>
      </c>
      <c r="E5" s="8">
        <f>Лист1!G311</f>
        <v>0</v>
      </c>
      <c r="F5" s="8"/>
      <c r="G5" s="8">
        <f>Лист1!G399</f>
        <v>973419.23</v>
      </c>
      <c r="H5" s="8">
        <f>Лист1!G495</f>
        <v>166250</v>
      </c>
      <c r="I5" s="8">
        <f>Лист1!G551</f>
        <v>0</v>
      </c>
      <c r="J5" s="8">
        <f>Лист1!G564</f>
        <v>0</v>
      </c>
      <c r="K5" s="8"/>
      <c r="L5" s="8"/>
      <c r="M5" s="8"/>
      <c r="N5" s="8"/>
      <c r="O5" s="395">
        <f>SUM(B5:N5)</f>
        <v>1355903.73</v>
      </c>
    </row>
    <row r="6" spans="1:15">
      <c r="A6" s="12">
        <v>213</v>
      </c>
      <c r="B6" s="8">
        <f>Лист1!G136</f>
        <v>3761754.66</v>
      </c>
      <c r="C6" s="8"/>
      <c r="D6" s="8">
        <f>Лист1!G299</f>
        <v>81700</v>
      </c>
      <c r="E6" s="8">
        <f>Лист1!G312</f>
        <v>1728.38</v>
      </c>
      <c r="F6" s="8"/>
      <c r="G6" s="8">
        <f>Лист1!G400</f>
        <v>7189717.1500000004</v>
      </c>
      <c r="H6" s="8">
        <f>Лист1!G496</f>
        <v>1929251.55</v>
      </c>
      <c r="I6" s="8"/>
      <c r="J6" s="8">
        <f>Лист1!G565</f>
        <v>82954.450000000012</v>
      </c>
      <c r="K6" s="8"/>
      <c r="L6" s="8"/>
      <c r="M6" s="8"/>
      <c r="N6" s="8"/>
      <c r="O6" s="395">
        <f t="shared" ref="O6:O22" si="0">SUM(B6:N6)</f>
        <v>13047106.190000001</v>
      </c>
    </row>
    <row r="7" spans="1:15">
      <c r="A7" s="12">
        <v>221</v>
      </c>
      <c r="B7" s="8">
        <f>Лист1!G137</f>
        <v>321717.02</v>
      </c>
      <c r="C7" s="8"/>
      <c r="D7" s="8"/>
      <c r="E7" s="8">
        <f>Лист1!G313</f>
        <v>0</v>
      </c>
      <c r="F7" s="8"/>
      <c r="G7" s="8">
        <f>Лист1!G401</f>
        <v>171663.07</v>
      </c>
      <c r="H7" s="8">
        <f>Лист1!G497</f>
        <v>49341.55</v>
      </c>
      <c r="I7" s="8"/>
      <c r="J7" s="8">
        <f>Лист1!G566</f>
        <v>5256.75</v>
      </c>
      <c r="K7" s="8"/>
      <c r="L7" s="8"/>
      <c r="M7" s="8"/>
      <c r="N7" s="8"/>
      <c r="O7" s="395">
        <f t="shared" si="0"/>
        <v>547978.39</v>
      </c>
    </row>
    <row r="8" spans="1:15">
      <c r="A8" s="12">
        <v>222</v>
      </c>
      <c r="B8" s="8">
        <f>Лист1!G138</f>
        <v>87200</v>
      </c>
      <c r="C8" s="8"/>
      <c r="D8" s="8">
        <f>Лист1!G257</f>
        <v>16080</v>
      </c>
      <c r="E8" s="8">
        <f>Лист1!G314</f>
        <v>0</v>
      </c>
      <c r="F8" s="8"/>
      <c r="G8" s="8">
        <f>Лист1!G402</f>
        <v>186030</v>
      </c>
      <c r="H8" s="8">
        <f>Лист1!G498</f>
        <v>45872.4</v>
      </c>
      <c r="I8" s="8">
        <f>Лист1!G552</f>
        <v>0</v>
      </c>
      <c r="J8" s="8">
        <f>Лист1!G567</f>
        <v>0</v>
      </c>
      <c r="K8" s="8">
        <f>Лист1!G621</f>
        <v>0</v>
      </c>
      <c r="L8" s="8"/>
      <c r="M8" s="8"/>
      <c r="N8" s="8"/>
      <c r="O8" s="395">
        <f t="shared" si="0"/>
        <v>335182.40000000002</v>
      </c>
    </row>
    <row r="9" spans="1:15">
      <c r="A9" s="12">
        <v>223</v>
      </c>
      <c r="B9" s="8">
        <f>Лист1!G139</f>
        <v>311581.69</v>
      </c>
      <c r="C9" s="8"/>
      <c r="D9" s="8"/>
      <c r="E9" s="8">
        <f>Лист1!G315</f>
        <v>0</v>
      </c>
      <c r="F9" s="8"/>
      <c r="G9" s="8">
        <f>Лист1!G403</f>
        <v>3302097.2899999996</v>
      </c>
      <c r="H9" s="8">
        <f>Лист1!G499</f>
        <v>238183.59999999998</v>
      </c>
      <c r="I9" s="8"/>
      <c r="J9" s="8">
        <f>Лист1!G568</f>
        <v>62.33</v>
      </c>
      <c r="K9" s="8"/>
      <c r="L9" s="8"/>
      <c r="M9" s="8"/>
      <c r="N9" s="8"/>
      <c r="O9" s="395">
        <f t="shared" si="0"/>
        <v>3851924.9099999997</v>
      </c>
    </row>
    <row r="10" spans="1:15">
      <c r="A10" s="12">
        <v>224</v>
      </c>
      <c r="B10" s="8">
        <f>Лист1!G140</f>
        <v>0</v>
      </c>
      <c r="C10" s="8"/>
      <c r="D10" s="8"/>
      <c r="E10" s="8">
        <f>Лист1!G316</f>
        <v>0</v>
      </c>
      <c r="F10" s="8"/>
      <c r="G10" s="8">
        <f>Лист1!G404</f>
        <v>0</v>
      </c>
      <c r="H10" s="8">
        <f>Лист1!G500</f>
        <v>0</v>
      </c>
      <c r="I10" s="8"/>
      <c r="J10" s="8">
        <f>Лист1!F569</f>
        <v>0</v>
      </c>
      <c r="K10" s="8"/>
      <c r="L10" s="8"/>
      <c r="M10" s="8"/>
      <c r="N10" s="8"/>
      <c r="O10" s="395">
        <f t="shared" si="0"/>
        <v>0</v>
      </c>
    </row>
    <row r="11" spans="1:15">
      <c r="A11" s="12">
        <v>225</v>
      </c>
      <c r="B11" s="8">
        <f>Лист1!G141</f>
        <v>11706.75</v>
      </c>
      <c r="C11" s="8"/>
      <c r="D11" s="8"/>
      <c r="E11" s="8">
        <f>Лист1!G317</f>
        <v>0</v>
      </c>
      <c r="F11" s="8">
        <f>Лист1!G376</f>
        <v>0</v>
      </c>
      <c r="G11" s="8">
        <f>Лист1!G405</f>
        <v>55776.11</v>
      </c>
      <c r="H11" s="8">
        <f>Лист1!G501</f>
        <v>63086</v>
      </c>
      <c r="I11" s="8"/>
      <c r="J11" s="8">
        <f>Лист1!G570</f>
        <v>0</v>
      </c>
      <c r="K11" s="8"/>
      <c r="L11" s="8"/>
      <c r="M11" s="8"/>
      <c r="N11" s="8"/>
      <c r="O11" s="395">
        <f t="shared" si="0"/>
        <v>130568.86</v>
      </c>
    </row>
    <row r="12" spans="1:15">
      <c r="A12" s="12">
        <v>226</v>
      </c>
      <c r="B12" s="8">
        <f>Лист1!G142</f>
        <v>619363.03</v>
      </c>
      <c r="C12" s="8"/>
      <c r="D12" s="8">
        <f>Лист1!G259</f>
        <v>0</v>
      </c>
      <c r="E12" s="8">
        <f>Лист1!G318</f>
        <v>0</v>
      </c>
      <c r="F12" s="8">
        <f>Лист1!G378</f>
        <v>0</v>
      </c>
      <c r="G12" s="8">
        <f>Лист1!G406</f>
        <v>132228.72</v>
      </c>
      <c r="H12" s="8">
        <f>Лист1!G502</f>
        <v>48297.04</v>
      </c>
      <c r="I12" s="8">
        <f>Лист1!G553</f>
        <v>0</v>
      </c>
      <c r="J12" s="8">
        <f>Лист1!G571</f>
        <v>23783.43</v>
      </c>
      <c r="K12" s="8">
        <f>Лист1!G623</f>
        <v>0</v>
      </c>
      <c r="L12" s="8"/>
      <c r="M12" s="8"/>
      <c r="N12" s="8"/>
      <c r="O12" s="395">
        <f t="shared" si="0"/>
        <v>823672.22000000009</v>
      </c>
    </row>
    <row r="13" spans="1:15">
      <c r="A13" s="12">
        <v>231</v>
      </c>
      <c r="B13" s="8"/>
      <c r="C13" s="8"/>
      <c r="D13" s="8"/>
      <c r="E13" s="8"/>
      <c r="F13" s="8"/>
      <c r="G13" s="8"/>
      <c r="H13" s="8"/>
      <c r="I13" s="8"/>
      <c r="J13" s="8"/>
      <c r="K13" s="8"/>
      <c r="L13" s="8"/>
      <c r="M13" s="8">
        <f>Лист1!G635</f>
        <v>0</v>
      </c>
      <c r="N13" s="8"/>
      <c r="O13" s="395">
        <f t="shared" si="0"/>
        <v>0</v>
      </c>
    </row>
    <row r="14" spans="1:15">
      <c r="A14" s="12">
        <v>242</v>
      </c>
      <c r="B14" s="8"/>
      <c r="C14" s="8"/>
      <c r="D14" s="8"/>
      <c r="E14" s="8">
        <f>Лист1!G319</f>
        <v>0</v>
      </c>
      <c r="F14" s="8">
        <f>Лист1!G358</f>
        <v>0</v>
      </c>
      <c r="G14" s="8"/>
      <c r="H14" s="8"/>
      <c r="I14" s="8"/>
      <c r="J14" s="8"/>
      <c r="K14" s="8"/>
      <c r="L14" s="8"/>
      <c r="M14" s="8"/>
      <c r="N14" s="8"/>
      <c r="O14" s="395">
        <f t="shared" si="0"/>
        <v>0</v>
      </c>
    </row>
    <row r="15" spans="1:15">
      <c r="A15" s="12">
        <v>251</v>
      </c>
      <c r="B15" s="8"/>
      <c r="C15" s="8"/>
      <c r="D15" s="8"/>
      <c r="E15" s="8"/>
      <c r="F15" s="8"/>
      <c r="G15" s="8"/>
      <c r="H15" s="8"/>
      <c r="I15" s="8"/>
      <c r="J15" s="8"/>
      <c r="K15" s="8"/>
      <c r="L15" s="8"/>
      <c r="M15" s="8"/>
      <c r="N15" s="8">
        <f>Лист1!G636</f>
        <v>80000</v>
      </c>
      <c r="O15" s="395">
        <f t="shared" si="0"/>
        <v>80000</v>
      </c>
    </row>
    <row r="16" spans="1:15">
      <c r="A16" s="12">
        <v>261</v>
      </c>
      <c r="B16" s="8">
        <f>Лист1!G143</f>
        <v>0</v>
      </c>
      <c r="C16" s="8"/>
      <c r="D16" s="8"/>
      <c r="E16" s="8"/>
      <c r="F16" s="8"/>
      <c r="G16" s="8"/>
      <c r="H16" s="8"/>
      <c r="I16" s="8"/>
      <c r="J16" s="8"/>
      <c r="K16" s="8"/>
      <c r="L16" s="8"/>
      <c r="M16" s="8"/>
      <c r="N16" s="8"/>
      <c r="O16" s="395">
        <f t="shared" si="0"/>
        <v>0</v>
      </c>
    </row>
    <row r="17" spans="1:17">
      <c r="A17" s="12">
        <v>262</v>
      </c>
      <c r="B17" s="8">
        <f>Лист1!G144</f>
        <v>0</v>
      </c>
      <c r="C17" s="8"/>
      <c r="D17" s="8">
        <f>Лист1!G260</f>
        <v>0</v>
      </c>
      <c r="E17" s="8"/>
      <c r="F17" s="8"/>
      <c r="G17" s="8"/>
      <c r="H17" s="8">
        <f>Лист1!G504</f>
        <v>0</v>
      </c>
      <c r="I17" s="8"/>
      <c r="J17" s="8">
        <f>Лист1!G572</f>
        <v>3998727.36</v>
      </c>
      <c r="K17" s="8"/>
      <c r="L17" s="8"/>
      <c r="M17" s="8"/>
      <c r="N17" s="8"/>
      <c r="O17" s="395">
        <f t="shared" si="0"/>
        <v>3998727.36</v>
      </c>
    </row>
    <row r="18" spans="1:17">
      <c r="A18" s="12">
        <v>263</v>
      </c>
      <c r="B18" s="8"/>
      <c r="C18" s="8"/>
      <c r="D18" s="8"/>
      <c r="E18" s="8"/>
      <c r="F18" s="8"/>
      <c r="G18" s="8"/>
      <c r="H18" s="8"/>
      <c r="I18" s="8"/>
      <c r="J18" s="8">
        <f>Лист1!G573</f>
        <v>370601.43</v>
      </c>
      <c r="K18" s="8"/>
      <c r="L18" s="8"/>
      <c r="M18" s="8"/>
      <c r="N18" s="8"/>
      <c r="O18" s="395">
        <f t="shared" si="0"/>
        <v>370601.43</v>
      </c>
      <c r="P18" s="10"/>
    </row>
    <row r="19" spans="1:17">
      <c r="A19" s="12">
        <v>290</v>
      </c>
      <c r="B19" s="8">
        <f>Лист1!G145</f>
        <v>75957.540000000008</v>
      </c>
      <c r="C19" s="8"/>
      <c r="D19" s="8"/>
      <c r="E19" s="8">
        <f>Лист1!G320</f>
        <v>0</v>
      </c>
      <c r="F19" s="8">
        <f>Лист1!G359</f>
        <v>0</v>
      </c>
      <c r="G19" s="8">
        <f>Лист1!G407</f>
        <v>178106.81</v>
      </c>
      <c r="H19" s="8">
        <f>Лист1!G505</f>
        <v>34821.440000000002</v>
      </c>
      <c r="I19" s="8"/>
      <c r="J19" s="8">
        <f>Лист1!G574</f>
        <v>0</v>
      </c>
      <c r="K19" s="8">
        <f>Лист1!G624</f>
        <v>0</v>
      </c>
      <c r="L19" s="8"/>
      <c r="M19" s="8"/>
      <c r="N19" s="8"/>
      <c r="O19" s="395">
        <f t="shared" si="0"/>
        <v>288885.79000000004</v>
      </c>
    </row>
    <row r="20" spans="1:17">
      <c r="A20" s="12">
        <v>310</v>
      </c>
      <c r="B20" s="8">
        <f>Лист1!G146</f>
        <v>44380</v>
      </c>
      <c r="C20" s="8"/>
      <c r="D20" s="8">
        <f>Лист1!G262</f>
        <v>0</v>
      </c>
      <c r="E20" s="8">
        <f>Лист1!G321</f>
        <v>0</v>
      </c>
      <c r="F20" s="8">
        <f>Лист1!G360</f>
        <v>0</v>
      </c>
      <c r="G20" s="8">
        <f>Лист1!G408</f>
        <v>64446.66</v>
      </c>
      <c r="H20" s="8">
        <f>Лист1!G506</f>
        <v>615899.4</v>
      </c>
      <c r="I20" s="8"/>
      <c r="J20" s="8">
        <f>Лист1!G575</f>
        <v>0</v>
      </c>
      <c r="K20" s="8">
        <f>Лист1!G625</f>
        <v>0</v>
      </c>
      <c r="L20" s="8"/>
      <c r="M20" s="8"/>
      <c r="N20" s="8"/>
      <c r="O20" s="395">
        <f t="shared" si="0"/>
        <v>724726.06</v>
      </c>
    </row>
    <row r="21" spans="1:17">
      <c r="A21" s="12">
        <v>340</v>
      </c>
      <c r="B21" s="8">
        <f>Лист1!G148</f>
        <v>227743.5</v>
      </c>
      <c r="C21" s="8"/>
      <c r="D21" s="8">
        <f>Лист1!G263</f>
        <v>0</v>
      </c>
      <c r="E21" s="8">
        <f>Лист1!G322</f>
        <v>0</v>
      </c>
      <c r="F21" s="8"/>
      <c r="G21" s="8">
        <f>Лист1!G409</f>
        <v>1428661.2000000002</v>
      </c>
      <c r="H21" s="8">
        <f>Лист1!G507</f>
        <v>161341.75</v>
      </c>
      <c r="I21" s="8">
        <f>Лист1!G554</f>
        <v>0</v>
      </c>
      <c r="J21" s="8">
        <f>Лист1!G576</f>
        <v>162752</v>
      </c>
      <c r="K21" s="8">
        <f>Лист1!G626</f>
        <v>6000</v>
      </c>
      <c r="L21" s="8"/>
      <c r="M21" s="8"/>
      <c r="N21" s="8"/>
      <c r="O21" s="395">
        <f t="shared" si="0"/>
        <v>1986498.4500000002</v>
      </c>
    </row>
    <row r="22" spans="1:17">
      <c r="A22" s="12">
        <v>530</v>
      </c>
      <c r="B22" s="8"/>
      <c r="C22" s="8"/>
      <c r="D22" s="8"/>
      <c r="E22" s="8"/>
      <c r="F22" s="8">
        <f>Лист1!G362</f>
        <v>0</v>
      </c>
      <c r="G22" s="8"/>
      <c r="H22" s="8"/>
      <c r="I22" s="8"/>
      <c r="J22" s="8"/>
      <c r="K22" s="8"/>
      <c r="L22" s="8"/>
      <c r="M22" s="8"/>
      <c r="N22" s="8"/>
      <c r="O22" s="395">
        <f t="shared" si="0"/>
        <v>0</v>
      </c>
    </row>
    <row r="23" spans="1:17">
      <c r="A23" s="394" t="s">
        <v>66</v>
      </c>
      <c r="B23" s="395">
        <f>SUM(B4:B22)</f>
        <v>18478342.600000001</v>
      </c>
      <c r="C23" s="395">
        <f t="shared" ref="C23:N23" si="1">SUM(C4:C22)</f>
        <v>0</v>
      </c>
      <c r="D23" s="395">
        <f t="shared" si="1"/>
        <v>375458.56</v>
      </c>
      <c r="E23" s="395">
        <f t="shared" si="1"/>
        <v>7452.39</v>
      </c>
      <c r="F23" s="395">
        <f t="shared" si="1"/>
        <v>0</v>
      </c>
      <c r="G23" s="395">
        <f t="shared" si="1"/>
        <v>38517658.869999997</v>
      </c>
      <c r="H23" s="395">
        <f t="shared" si="1"/>
        <v>8704802.4700000007</v>
      </c>
      <c r="I23" s="395">
        <f t="shared" si="1"/>
        <v>0</v>
      </c>
      <c r="J23" s="395">
        <f t="shared" si="1"/>
        <v>4917285.1999999993</v>
      </c>
      <c r="K23" s="395">
        <f t="shared" si="1"/>
        <v>6000</v>
      </c>
      <c r="L23" s="395">
        <f t="shared" si="1"/>
        <v>0</v>
      </c>
      <c r="M23" s="395">
        <f t="shared" si="1"/>
        <v>0</v>
      </c>
      <c r="N23" s="395">
        <f t="shared" si="1"/>
        <v>80000</v>
      </c>
      <c r="O23" s="395">
        <f>SUM(B23:N23)</f>
        <v>71087000.090000004</v>
      </c>
    </row>
    <row r="24" spans="1:17">
      <c r="A24" s="304"/>
      <c r="B24" s="577"/>
      <c r="C24" s="304"/>
      <c r="D24" s="577"/>
      <c r="E24" s="577"/>
      <c r="F24" s="577"/>
      <c r="G24" s="577"/>
      <c r="H24" s="577"/>
      <c r="I24" s="577"/>
      <c r="J24" s="577"/>
      <c r="K24" s="577"/>
      <c r="L24" s="577"/>
      <c r="M24" s="577"/>
      <c r="N24" s="577"/>
      <c r="O24" s="577"/>
    </row>
    <row r="25" spans="1:17">
      <c r="A25" s="304" t="s">
        <v>689</v>
      </c>
      <c r="B25" s="577"/>
      <c r="C25" s="304"/>
      <c r="D25" s="577"/>
      <c r="E25" s="577"/>
      <c r="F25" s="577"/>
      <c r="G25" s="577"/>
      <c r="H25" s="577"/>
      <c r="I25" s="577"/>
      <c r="J25" s="577"/>
      <c r="K25" s="577"/>
      <c r="L25" s="577"/>
      <c r="M25" s="577"/>
      <c r="N25" s="577"/>
      <c r="O25" s="577">
        <f>SUM(O4:O22)</f>
        <v>71087000.090000018</v>
      </c>
    </row>
    <row r="27" spans="1:17">
      <c r="A27" s="12"/>
      <c r="B27" s="12">
        <v>100</v>
      </c>
      <c r="C27" s="12">
        <v>200</v>
      </c>
      <c r="D27" s="12">
        <v>300</v>
      </c>
      <c r="E27" s="12">
        <v>400</v>
      </c>
      <c r="F27" s="12">
        <v>500</v>
      </c>
      <c r="G27" s="12">
        <v>700</v>
      </c>
      <c r="H27" s="12">
        <v>800</v>
      </c>
      <c r="I27" s="12">
        <v>900</v>
      </c>
      <c r="J27" s="12">
        <v>1000</v>
      </c>
      <c r="K27" s="12">
        <v>1101</v>
      </c>
      <c r="L27" s="12">
        <v>1105</v>
      </c>
      <c r="M27" s="12">
        <v>1301</v>
      </c>
      <c r="N27" s="12">
        <v>1403</v>
      </c>
      <c r="O27" s="12" t="s">
        <v>66</v>
      </c>
    </row>
    <row r="28" spans="1:17">
      <c r="A28" s="12">
        <v>211</v>
      </c>
      <c r="B28" s="8">
        <f>Лист1!F134</f>
        <v>17283359.740000002</v>
      </c>
      <c r="C28" s="8">
        <f>Лист1!F243</f>
        <v>88485.71</v>
      </c>
      <c r="D28" s="8">
        <f>Лист1!F253</f>
        <v>277678.56</v>
      </c>
      <c r="E28" s="8">
        <f>Лист1!F310</f>
        <v>5724.01</v>
      </c>
      <c r="F28" s="8"/>
      <c r="G28" s="8">
        <f>Лист1!F398</f>
        <v>24835512.629999999</v>
      </c>
      <c r="H28" s="8">
        <f>Лист1!F494</f>
        <v>5352457.74</v>
      </c>
      <c r="I28" s="8"/>
      <c r="J28" s="8">
        <f>Лист1!F563</f>
        <v>273147.44999999995</v>
      </c>
      <c r="K28" s="8"/>
      <c r="L28" s="8"/>
      <c r="M28" s="8"/>
      <c r="N28" s="8"/>
      <c r="O28" s="395">
        <f t="shared" ref="O28:O48" si="2">SUM(B28:N28)</f>
        <v>48116365.840000011</v>
      </c>
      <c r="P28" s="10"/>
      <c r="Q28" s="10"/>
    </row>
    <row r="29" spans="1:17">
      <c r="A29" s="12">
        <v>212</v>
      </c>
      <c r="B29" s="8">
        <f>Лист1!F135</f>
        <v>588886.86</v>
      </c>
      <c r="C29" s="8"/>
      <c r="D29" s="8">
        <f>Лист1!F255</f>
        <v>0</v>
      </c>
      <c r="E29" s="8">
        <f>Лист1!F311</f>
        <v>0</v>
      </c>
      <c r="F29" s="8"/>
      <c r="G29" s="8">
        <f>Лист1!F399</f>
        <v>973419.23</v>
      </c>
      <c r="H29" s="8">
        <f>Лист1!F495</f>
        <v>166250</v>
      </c>
      <c r="I29" s="8">
        <f>Лист1!F551</f>
        <v>0</v>
      </c>
      <c r="J29" s="8">
        <f>Лист1!F564</f>
        <v>0</v>
      </c>
      <c r="K29" s="8"/>
      <c r="L29" s="8"/>
      <c r="M29" s="8"/>
      <c r="N29" s="8"/>
      <c r="O29" s="395">
        <f t="shared" si="2"/>
        <v>1728556.0899999999</v>
      </c>
    </row>
    <row r="30" spans="1:17">
      <c r="A30" s="12">
        <v>213</v>
      </c>
      <c r="B30" s="8">
        <f>Лист1!F136</f>
        <v>4953481.95</v>
      </c>
      <c r="C30" s="8">
        <f>Лист1!F244</f>
        <v>-70879.559999999983</v>
      </c>
      <c r="D30" s="8">
        <f>Лист1!F299</f>
        <v>81700</v>
      </c>
      <c r="E30" s="8">
        <f>Лист1!F312</f>
        <v>1728.38</v>
      </c>
      <c r="F30" s="8"/>
      <c r="G30" s="8">
        <f>Лист1!F400</f>
        <v>7189717.1500000004</v>
      </c>
      <c r="H30" s="8">
        <f>Лист1!F496</f>
        <v>1929251.55</v>
      </c>
      <c r="I30" s="8"/>
      <c r="J30" s="8">
        <f>Лист1!F565</f>
        <v>82954.450000000012</v>
      </c>
      <c r="K30" s="8"/>
      <c r="L30" s="8"/>
      <c r="M30" s="8"/>
      <c r="N30" s="8"/>
      <c r="O30" s="395">
        <f t="shared" si="2"/>
        <v>14167953.920000002</v>
      </c>
      <c r="P30" s="10"/>
    </row>
    <row r="31" spans="1:17">
      <c r="A31" s="12">
        <v>221</v>
      </c>
      <c r="B31" s="8">
        <f>Лист1!F137</f>
        <v>505201.18000000005</v>
      </c>
      <c r="C31" s="8">
        <f>Лист1!F246</f>
        <v>0</v>
      </c>
      <c r="D31" s="8"/>
      <c r="E31" s="8">
        <f>Лист1!F313</f>
        <v>0</v>
      </c>
      <c r="F31" s="8"/>
      <c r="G31" s="8">
        <f>Лист1!F401</f>
        <v>171663.07</v>
      </c>
      <c r="H31" s="8">
        <f>Лист1!F497</f>
        <v>49341.55</v>
      </c>
      <c r="I31" s="8"/>
      <c r="J31" s="8">
        <f>Лист1!F566</f>
        <v>5256.75</v>
      </c>
      <c r="K31" s="8"/>
      <c r="L31" s="8"/>
      <c r="M31" s="8"/>
      <c r="N31" s="8"/>
      <c r="O31" s="395">
        <f t="shared" si="2"/>
        <v>731462.55</v>
      </c>
    </row>
    <row r="32" spans="1:17">
      <c r="A32" s="12">
        <v>222</v>
      </c>
      <c r="B32" s="8">
        <f>Лист1!F138</f>
        <v>251255.5</v>
      </c>
      <c r="C32" s="8"/>
      <c r="D32" s="8">
        <f>Лист1!F257</f>
        <v>24787.42</v>
      </c>
      <c r="E32" s="8">
        <f>Лист1!F314</f>
        <v>0</v>
      </c>
      <c r="F32" s="8">
        <f>Лист1!F352</f>
        <v>359909.72</v>
      </c>
      <c r="G32" s="8">
        <f>Лист1!F402</f>
        <v>186030</v>
      </c>
      <c r="H32" s="8">
        <f>Лист1!F498</f>
        <v>45872.4</v>
      </c>
      <c r="I32" s="8">
        <f>Лист1!F552</f>
        <v>0</v>
      </c>
      <c r="J32" s="8">
        <f>Лист1!F567</f>
        <v>0</v>
      </c>
      <c r="K32" s="8">
        <f>Лист1!F621</f>
        <v>20000</v>
      </c>
      <c r="L32" s="8">
        <f>Лист1!F628</f>
        <v>15000</v>
      </c>
      <c r="M32" s="8"/>
      <c r="N32" s="8"/>
      <c r="O32" s="395">
        <f t="shared" si="2"/>
        <v>902855.03999999992</v>
      </c>
    </row>
    <row r="33" spans="1:17">
      <c r="A33" s="12">
        <v>223</v>
      </c>
      <c r="B33" s="8">
        <f>Лист1!F139</f>
        <v>831166.72</v>
      </c>
      <c r="C33" s="8"/>
      <c r="D33" s="8"/>
      <c r="E33" s="8">
        <f>Лист1!F315</f>
        <v>0</v>
      </c>
      <c r="F33" s="8">
        <f>Лист1!H353</f>
        <v>47616.75</v>
      </c>
      <c r="G33" s="8">
        <f>Лист1!F403</f>
        <v>3302097.2899999996</v>
      </c>
      <c r="H33" s="8">
        <f>Лист1!F499</f>
        <v>238183.59999999998</v>
      </c>
      <c r="I33" s="8"/>
      <c r="J33" s="8">
        <f>Лист1!F568</f>
        <v>62.33</v>
      </c>
      <c r="K33" s="8"/>
      <c r="L33" s="8"/>
      <c r="M33" s="8"/>
      <c r="N33" s="8"/>
      <c r="O33" s="395">
        <f t="shared" si="2"/>
        <v>4419126.6899999995</v>
      </c>
    </row>
    <row r="34" spans="1:17">
      <c r="A34" s="12">
        <v>224</v>
      </c>
      <c r="B34" s="8">
        <f>Лист1!F140</f>
        <v>0</v>
      </c>
      <c r="C34" s="8"/>
      <c r="D34" s="8"/>
      <c r="E34" s="8">
        <f>Лист1!F316</f>
        <v>0</v>
      </c>
      <c r="F34" s="8"/>
      <c r="G34" s="8">
        <f>Лист1!F404</f>
        <v>0</v>
      </c>
      <c r="H34" s="8">
        <f>Лист1!F500</f>
        <v>0</v>
      </c>
      <c r="I34" s="8"/>
      <c r="J34" s="8">
        <f>Лист1!F569</f>
        <v>0</v>
      </c>
      <c r="K34" s="8"/>
      <c r="L34" s="8"/>
      <c r="M34" s="8"/>
      <c r="N34" s="8"/>
      <c r="O34" s="395">
        <f t="shared" si="2"/>
        <v>0</v>
      </c>
    </row>
    <row r="35" spans="1:17">
      <c r="A35" s="12">
        <v>225</v>
      </c>
      <c r="B35" s="8">
        <f>Лист1!F141</f>
        <v>55319.22</v>
      </c>
      <c r="C35" s="8"/>
      <c r="D35" s="8"/>
      <c r="E35" s="8">
        <f>Лист1!F317</f>
        <v>0</v>
      </c>
      <c r="F35" s="8">
        <f>Лист1!F355</f>
        <v>250965.91</v>
      </c>
      <c r="G35" s="8">
        <f>Лист1!F405</f>
        <v>55776.11</v>
      </c>
      <c r="H35" s="8">
        <f>Лист1!F501</f>
        <v>63086</v>
      </c>
      <c r="I35" s="8"/>
      <c r="J35" s="8">
        <f>Лист1!F570</f>
        <v>0</v>
      </c>
      <c r="K35" s="8"/>
      <c r="L35" s="8"/>
      <c r="M35" s="8"/>
      <c r="N35" s="8"/>
      <c r="O35" s="395">
        <f t="shared" si="2"/>
        <v>425147.24</v>
      </c>
    </row>
    <row r="36" spans="1:17">
      <c r="A36" s="12">
        <v>226</v>
      </c>
      <c r="B36" s="8">
        <f>Лист1!F142</f>
        <v>792961.69000000006</v>
      </c>
      <c r="C36" s="8">
        <f>Лист1!F250</f>
        <v>0</v>
      </c>
      <c r="D36" s="8">
        <f>Лист1!F259</f>
        <v>25399.08</v>
      </c>
      <c r="E36" s="8">
        <f>Лист1!F318</f>
        <v>311590</v>
      </c>
      <c r="F36" s="8">
        <f>Лист1!F356</f>
        <v>13794</v>
      </c>
      <c r="G36" s="8">
        <f>Лист1!F406</f>
        <v>132228.72</v>
      </c>
      <c r="H36" s="8">
        <f>Лист1!F502</f>
        <v>60297.04</v>
      </c>
      <c r="I36" s="8">
        <f>Лист1!F553</f>
        <v>0</v>
      </c>
      <c r="J36" s="8">
        <f>Лист1!F571</f>
        <v>23783.43</v>
      </c>
      <c r="K36" s="8">
        <f>Лист1!F623</f>
        <v>2200</v>
      </c>
      <c r="L36" s="8">
        <f>Лист1!F629</f>
        <v>60248</v>
      </c>
      <c r="M36" s="8"/>
      <c r="N36" s="8"/>
      <c r="O36" s="395">
        <f t="shared" si="2"/>
        <v>1422501.96</v>
      </c>
    </row>
    <row r="37" spans="1:17">
      <c r="A37" s="12">
        <v>231</v>
      </c>
      <c r="B37" s="8"/>
      <c r="C37" s="8"/>
      <c r="D37" s="8"/>
      <c r="E37" s="8"/>
      <c r="F37" s="8"/>
      <c r="G37" s="8"/>
      <c r="H37" s="8"/>
      <c r="I37" s="8"/>
      <c r="J37" s="8"/>
      <c r="K37" s="8"/>
      <c r="L37" s="8"/>
      <c r="M37" s="8">
        <f>Лист1!F635</f>
        <v>0</v>
      </c>
      <c r="N37" s="8"/>
      <c r="O37" s="395">
        <f t="shared" si="2"/>
        <v>0</v>
      </c>
    </row>
    <row r="38" spans="1:17">
      <c r="A38" s="12">
        <v>241</v>
      </c>
      <c r="B38" s="8"/>
      <c r="C38" s="8"/>
      <c r="D38" s="8"/>
      <c r="E38" s="8"/>
      <c r="F38" s="8">
        <f>Лист1!H357</f>
        <v>0</v>
      </c>
      <c r="G38" s="8"/>
      <c r="H38" s="8"/>
      <c r="I38" s="8"/>
      <c r="J38" s="8"/>
      <c r="K38" s="8"/>
      <c r="L38" s="8"/>
      <c r="M38" s="8"/>
      <c r="N38" s="8"/>
      <c r="O38" s="395">
        <f t="shared" si="2"/>
        <v>0</v>
      </c>
    </row>
    <row r="39" spans="1:17">
      <c r="A39" s="12">
        <v>242</v>
      </c>
      <c r="B39" s="8"/>
      <c r="C39" s="8"/>
      <c r="D39" s="8"/>
      <c r="E39" s="8">
        <f>Лист1!F319</f>
        <v>0</v>
      </c>
      <c r="F39" s="8">
        <f>Лист1!F358</f>
        <v>88506.209999999992</v>
      </c>
      <c r="G39" s="8"/>
      <c r="H39" s="8"/>
      <c r="I39" s="8"/>
      <c r="J39" s="8"/>
      <c r="K39" s="8"/>
      <c r="L39" s="8"/>
      <c r="M39" s="8"/>
      <c r="N39" s="8"/>
      <c r="O39" s="395">
        <f t="shared" si="2"/>
        <v>88506.209999999992</v>
      </c>
    </row>
    <row r="40" spans="1:17">
      <c r="A40" s="12">
        <v>251</v>
      </c>
      <c r="B40" s="8"/>
      <c r="C40" s="8"/>
      <c r="D40" s="8"/>
      <c r="E40" s="8"/>
      <c r="F40" s="8"/>
      <c r="G40" s="8"/>
      <c r="H40" s="8"/>
      <c r="I40" s="8"/>
      <c r="J40" s="8"/>
      <c r="K40" s="8"/>
      <c r="L40" s="8"/>
      <c r="M40" s="8"/>
      <c r="N40" s="8"/>
      <c r="O40" s="395">
        <f t="shared" si="2"/>
        <v>0</v>
      </c>
    </row>
    <row r="41" spans="1:17">
      <c r="A41" s="12">
        <v>261</v>
      </c>
      <c r="B41" s="8">
        <f>Лист1!F143</f>
        <v>0</v>
      </c>
      <c r="C41" s="8"/>
      <c r="D41" s="8"/>
      <c r="E41" s="8"/>
      <c r="F41" s="8"/>
      <c r="G41" s="8"/>
      <c r="H41" s="8"/>
      <c r="I41" s="8"/>
      <c r="J41" s="8"/>
      <c r="K41" s="8"/>
      <c r="L41" s="8"/>
      <c r="M41" s="8"/>
      <c r="N41" s="8"/>
      <c r="O41" s="395">
        <f t="shared" si="2"/>
        <v>0</v>
      </c>
    </row>
    <row r="42" spans="1:17">
      <c r="A42" s="12">
        <v>262</v>
      </c>
      <c r="B42" s="8">
        <f>Лист1!F144</f>
        <v>0</v>
      </c>
      <c r="C42" s="8"/>
      <c r="D42" s="8">
        <f>Лист1!F269</f>
        <v>0</v>
      </c>
      <c r="E42" s="8"/>
      <c r="F42" s="8"/>
      <c r="G42" s="8"/>
      <c r="H42" s="8">
        <f>Лист1!F504</f>
        <v>0</v>
      </c>
      <c r="I42" s="8"/>
      <c r="J42" s="8">
        <f>Лист1!F572</f>
        <v>3998727.36</v>
      </c>
      <c r="K42" s="8"/>
      <c r="L42" s="8"/>
      <c r="M42" s="8"/>
      <c r="N42" s="8"/>
      <c r="O42" s="395">
        <f t="shared" si="2"/>
        <v>3998727.36</v>
      </c>
      <c r="P42" s="10"/>
      <c r="Q42" s="10"/>
    </row>
    <row r="43" spans="1:17">
      <c r="A43" s="12">
        <v>263</v>
      </c>
      <c r="B43" s="8"/>
      <c r="C43" s="8"/>
      <c r="D43" s="8"/>
      <c r="E43" s="8"/>
      <c r="F43" s="8"/>
      <c r="G43" s="8"/>
      <c r="H43" s="8"/>
      <c r="I43" s="8"/>
      <c r="J43" s="8">
        <f>Лист1!F573</f>
        <v>512107.58999999997</v>
      </c>
      <c r="K43" s="8"/>
      <c r="L43" s="8"/>
      <c r="M43" s="8"/>
      <c r="N43" s="8"/>
      <c r="O43" s="395">
        <f t="shared" si="2"/>
        <v>512107.58999999997</v>
      </c>
      <c r="P43" s="10"/>
    </row>
    <row r="44" spans="1:17">
      <c r="A44" s="12">
        <v>290</v>
      </c>
      <c r="B44" s="8">
        <f>Лист1!F145</f>
        <v>1382910.96</v>
      </c>
      <c r="C44" s="8"/>
      <c r="D44" s="8"/>
      <c r="E44" s="8">
        <f>Лист1!F320</f>
        <v>0</v>
      </c>
      <c r="F44" s="8">
        <f>Лист1!F359</f>
        <v>0</v>
      </c>
      <c r="G44" s="8">
        <f>Лист1!F407</f>
        <v>178106.81</v>
      </c>
      <c r="H44" s="8">
        <f>Лист1!F505</f>
        <v>86671.44</v>
      </c>
      <c r="I44" s="8"/>
      <c r="J44" s="8">
        <f>Лист1!F574</f>
        <v>0</v>
      </c>
      <c r="K44" s="8">
        <f>Лист1!F624</f>
        <v>2700</v>
      </c>
      <c r="L44" s="8">
        <f>Лист1!F630</f>
        <v>5200</v>
      </c>
      <c r="M44" s="8"/>
      <c r="N44" s="8"/>
      <c r="O44" s="395">
        <f t="shared" si="2"/>
        <v>1655589.21</v>
      </c>
    </row>
    <row r="45" spans="1:17">
      <c r="A45" s="12">
        <v>310</v>
      </c>
      <c r="B45" s="8">
        <f>Лист1!F146</f>
        <v>69008</v>
      </c>
      <c r="C45" s="8"/>
      <c r="D45" s="8">
        <f>Лист1!F262</f>
        <v>0</v>
      </c>
      <c r="E45" s="8">
        <f>Лист1!F321</f>
        <v>0</v>
      </c>
      <c r="F45" s="8">
        <f>Лист1!F360</f>
        <v>0</v>
      </c>
      <c r="G45" s="8">
        <f>Лист1!F408</f>
        <v>64446.66</v>
      </c>
      <c r="H45" s="8">
        <f>Лист1!F506</f>
        <v>615899.4</v>
      </c>
      <c r="I45" s="8"/>
      <c r="J45" s="8">
        <f>Лист1!F575</f>
        <v>0</v>
      </c>
      <c r="K45" s="8">
        <f>Лист1!F625</f>
        <v>0</v>
      </c>
      <c r="L45" s="8">
        <f>Лист1!F631</f>
        <v>0</v>
      </c>
      <c r="M45" s="8"/>
      <c r="N45" s="8"/>
      <c r="O45" s="395">
        <f t="shared" si="2"/>
        <v>749354.06</v>
      </c>
      <c r="P45" s="10"/>
      <c r="Q45" s="10"/>
    </row>
    <row r="46" spans="1:17">
      <c r="A46" s="12">
        <v>340</v>
      </c>
      <c r="B46" s="8">
        <f>Лист1!F148</f>
        <v>455561.5</v>
      </c>
      <c r="C46" s="8">
        <f>Лист1!F251</f>
        <v>0</v>
      </c>
      <c r="D46" s="8">
        <f>Лист1!F263</f>
        <v>0</v>
      </c>
      <c r="E46" s="8">
        <f>Лист1!F322</f>
        <v>0</v>
      </c>
      <c r="F46" s="8">
        <f>Лист1!F361</f>
        <v>93833</v>
      </c>
      <c r="G46" s="8">
        <f>Лист1!F409</f>
        <v>1428661.2000000002</v>
      </c>
      <c r="H46" s="8">
        <f>Лист1!F507</f>
        <v>163341.75</v>
      </c>
      <c r="I46" s="8">
        <f>Лист1!F554</f>
        <v>0</v>
      </c>
      <c r="J46" s="8">
        <f>Лист1!F576</f>
        <v>162752</v>
      </c>
      <c r="K46" s="8">
        <f>Лист1!F626</f>
        <v>6500</v>
      </c>
      <c r="L46" s="8">
        <f>Лист1!F633</f>
        <v>0</v>
      </c>
      <c r="M46" s="8"/>
      <c r="N46" s="8"/>
      <c r="O46" s="395">
        <f t="shared" si="2"/>
        <v>2310649.4500000002</v>
      </c>
      <c r="P46" s="10"/>
    </row>
    <row r="47" spans="1:17">
      <c r="A47" s="12">
        <v>530</v>
      </c>
      <c r="B47" s="8"/>
      <c r="C47" s="8"/>
      <c r="D47" s="8"/>
      <c r="E47" s="8"/>
      <c r="F47" s="8">
        <f>Лист1!F362</f>
        <v>0</v>
      </c>
      <c r="G47" s="8"/>
      <c r="H47" s="8"/>
      <c r="I47" s="8"/>
      <c r="J47" s="8"/>
      <c r="K47" s="8"/>
      <c r="L47" s="8"/>
      <c r="M47" s="8"/>
      <c r="N47" s="8"/>
      <c r="O47" s="395">
        <f t="shared" si="2"/>
        <v>0</v>
      </c>
    </row>
    <row r="48" spans="1:17">
      <c r="A48" s="394" t="s">
        <v>66</v>
      </c>
      <c r="B48" s="395">
        <f>SUM(B28:B47)</f>
        <v>27169113.32</v>
      </c>
      <c r="C48" s="395">
        <f t="shared" ref="C48:N48" si="3">SUM(C28:C47)</f>
        <v>17606.150000000023</v>
      </c>
      <c r="D48" s="395">
        <f t="shared" si="3"/>
        <v>409565.06</v>
      </c>
      <c r="E48" s="395">
        <f t="shared" si="3"/>
        <v>319042.39</v>
      </c>
      <c r="F48" s="395">
        <f t="shared" si="3"/>
        <v>854625.59</v>
      </c>
      <c r="G48" s="395">
        <f t="shared" si="3"/>
        <v>38517658.869999997</v>
      </c>
      <c r="H48" s="395">
        <f t="shared" si="3"/>
        <v>8770652.4700000007</v>
      </c>
      <c r="I48" s="395">
        <f t="shared" si="3"/>
        <v>0</v>
      </c>
      <c r="J48" s="395">
        <f t="shared" si="3"/>
        <v>5058791.3599999994</v>
      </c>
      <c r="K48" s="395">
        <f t="shared" si="3"/>
        <v>31400</v>
      </c>
      <c r="L48" s="395">
        <f t="shared" si="3"/>
        <v>80448</v>
      </c>
      <c r="M48" s="395">
        <f t="shared" si="3"/>
        <v>0</v>
      </c>
      <c r="N48" s="395">
        <f t="shared" si="3"/>
        <v>0</v>
      </c>
      <c r="O48" s="395">
        <f t="shared" si="2"/>
        <v>81228903.209999993</v>
      </c>
    </row>
    <row r="49" spans="1:15">
      <c r="O49" s="10"/>
    </row>
    <row r="50" spans="1:15">
      <c r="A50" s="1499" t="s">
        <v>2117</v>
      </c>
      <c r="O50" s="10">
        <f>SUM(O28:O47)</f>
        <v>81228903.209999993</v>
      </c>
    </row>
    <row r="52" spans="1:15">
      <c r="A52" s="12"/>
      <c r="B52" s="12">
        <v>100</v>
      </c>
      <c r="C52" s="12">
        <v>200</v>
      </c>
      <c r="D52" s="12">
        <v>300</v>
      </c>
      <c r="E52" s="12">
        <v>400</v>
      </c>
      <c r="F52" s="12">
        <v>500</v>
      </c>
      <c r="G52" s="12">
        <v>700</v>
      </c>
      <c r="H52" s="12">
        <v>800</v>
      </c>
      <c r="I52" s="12">
        <v>900</v>
      </c>
      <c r="J52" s="12">
        <v>1000</v>
      </c>
      <c r="K52" s="12">
        <v>1101</v>
      </c>
      <c r="L52" s="12">
        <v>1105</v>
      </c>
      <c r="M52" s="12">
        <v>1301</v>
      </c>
      <c r="N52" s="12">
        <v>1403</v>
      </c>
      <c r="O52" s="12" t="s">
        <v>66</v>
      </c>
    </row>
    <row r="53" spans="1:15">
      <c r="A53" s="12">
        <v>211</v>
      </c>
      <c r="B53" s="8">
        <f>Лист1!D134</f>
        <v>23542583.82</v>
      </c>
      <c r="C53" s="8"/>
      <c r="D53" s="8">
        <f>Лист1!D253</f>
        <v>1282974</v>
      </c>
      <c r="E53" s="8">
        <f>Лист1!D310</f>
        <v>29252.66</v>
      </c>
      <c r="F53" s="8"/>
      <c r="G53" s="8">
        <f>Лист1!D398</f>
        <v>117962200</v>
      </c>
      <c r="H53" s="8">
        <f>Лист1!D494</f>
        <v>9190400</v>
      </c>
      <c r="I53" s="8">
        <f>Лист1!D558</f>
        <v>40000</v>
      </c>
      <c r="J53" s="8">
        <f>Лист1!D563</f>
        <v>1170576.74</v>
      </c>
      <c r="K53" s="8"/>
      <c r="L53" s="8"/>
      <c r="M53" s="8"/>
      <c r="N53" s="8"/>
      <c r="O53" s="395">
        <f t="shared" ref="O53:O72" si="4">SUM(B53:N53)</f>
        <v>153217987.22</v>
      </c>
    </row>
    <row r="54" spans="1:15">
      <c r="A54" s="12">
        <v>212</v>
      </c>
      <c r="B54" s="8">
        <f>Лист1!D135</f>
        <v>1118560</v>
      </c>
      <c r="C54" s="8"/>
      <c r="D54" s="8">
        <f>Лист1!D255</f>
        <v>50000</v>
      </c>
      <c r="E54" s="8">
        <f>Лист1!D311</f>
        <v>0</v>
      </c>
      <c r="F54" s="8"/>
      <c r="G54" s="8">
        <f>Лист1!D399</f>
        <v>1413971.97</v>
      </c>
      <c r="H54" s="8">
        <f>Лист1!D495</f>
        <v>277479</v>
      </c>
      <c r="I54" s="8"/>
      <c r="J54" s="8">
        <f>Лист1!D564</f>
        <v>1600</v>
      </c>
      <c r="K54" s="8"/>
      <c r="L54" s="8"/>
      <c r="M54" s="8"/>
      <c r="N54" s="8"/>
      <c r="O54" s="395">
        <f t="shared" si="4"/>
        <v>2861610.9699999997</v>
      </c>
    </row>
    <row r="55" spans="1:15">
      <c r="A55" s="12">
        <v>213</v>
      </c>
      <c r="B55" s="8">
        <f>Лист1!D136</f>
        <v>6786598.96</v>
      </c>
      <c r="C55" s="8"/>
      <c r="D55" s="8">
        <f>Лист1!D254</f>
        <v>387459</v>
      </c>
      <c r="E55" s="8">
        <f>Лист1!D312</f>
        <v>8834.2999999999993</v>
      </c>
      <c r="F55" s="8"/>
      <c r="G55" s="8">
        <f>Лист1!D400</f>
        <v>35624100</v>
      </c>
      <c r="H55" s="8">
        <f>Лист1!D496</f>
        <v>2758100</v>
      </c>
      <c r="I55" s="8"/>
      <c r="J55" s="8">
        <f>Лист1!D565</f>
        <v>353514.17000000004</v>
      </c>
      <c r="K55" s="8"/>
      <c r="L55" s="8"/>
      <c r="M55" s="8"/>
      <c r="N55" s="8"/>
      <c r="O55" s="395">
        <f t="shared" si="4"/>
        <v>45918606.43</v>
      </c>
    </row>
    <row r="56" spans="1:15">
      <c r="A56" s="12">
        <v>221</v>
      </c>
      <c r="B56" s="8">
        <f>Лист1!D137</f>
        <v>965320.39</v>
      </c>
      <c r="C56" s="8"/>
      <c r="D56" s="8">
        <f>Лист1!D256</f>
        <v>22000</v>
      </c>
      <c r="E56" s="8">
        <f>Лист1!D313</f>
        <v>16713.04</v>
      </c>
      <c r="F56" s="8"/>
      <c r="G56" s="8">
        <f>Лист1!D401</f>
        <v>796600</v>
      </c>
      <c r="H56" s="8">
        <f>Лист1!D497</f>
        <v>89953</v>
      </c>
      <c r="I56" s="8"/>
      <c r="J56" s="8">
        <f>Лист1!D566</f>
        <v>41775</v>
      </c>
      <c r="K56" s="8"/>
      <c r="L56" s="8"/>
      <c r="M56" s="8"/>
      <c r="N56" s="8"/>
      <c r="O56" s="395">
        <f t="shared" si="4"/>
        <v>1932361.4300000002</v>
      </c>
    </row>
    <row r="57" spans="1:15">
      <c r="A57" s="12">
        <v>222</v>
      </c>
      <c r="B57" s="8">
        <f>Лист1!D138</f>
        <v>490600</v>
      </c>
      <c r="C57" s="8"/>
      <c r="D57" s="8">
        <f>Лист1!D257</f>
        <v>19000</v>
      </c>
      <c r="E57" s="8">
        <f>Лист1!D314</f>
        <v>165600</v>
      </c>
      <c r="F57" s="8"/>
      <c r="G57" s="8">
        <f>Лист1!D402</f>
        <v>389940</v>
      </c>
      <c r="H57" s="8">
        <f>Лист1!D498</f>
        <v>66226</v>
      </c>
      <c r="I57" s="8">
        <f>Лист1!D552</f>
        <v>0</v>
      </c>
      <c r="J57" s="8">
        <f>Лист1!D567</f>
        <v>15650</v>
      </c>
      <c r="K57" s="8">
        <f>Лист1!D621</f>
        <v>66400</v>
      </c>
      <c r="L57" s="8"/>
      <c r="M57" s="8"/>
      <c r="N57" s="8"/>
      <c r="O57" s="395">
        <f t="shared" si="4"/>
        <v>1213416</v>
      </c>
    </row>
    <row r="58" spans="1:15">
      <c r="A58" s="12">
        <v>223</v>
      </c>
      <c r="B58" s="8">
        <f>Лист1!D139</f>
        <v>631889</v>
      </c>
      <c r="C58" s="8"/>
      <c r="D58" s="8"/>
      <c r="E58" s="8">
        <f>Лист1!D315</f>
        <v>0</v>
      </c>
      <c r="F58" s="8"/>
      <c r="G58" s="8">
        <f>Лист1!D403</f>
        <v>4615824.46</v>
      </c>
      <c r="H58" s="8">
        <f>Лист1!D499</f>
        <v>270752.94</v>
      </c>
      <c r="I58" s="8"/>
      <c r="J58" s="8">
        <f>Лист1!D568</f>
        <v>13688</v>
      </c>
      <c r="K58" s="8"/>
      <c r="L58" s="8"/>
      <c r="M58" s="8"/>
      <c r="N58" s="8"/>
      <c r="O58" s="395">
        <f t="shared" si="4"/>
        <v>5532154.4000000004</v>
      </c>
    </row>
    <row r="59" spans="1:15">
      <c r="A59" s="12">
        <v>224</v>
      </c>
      <c r="B59" s="8">
        <f>Лист1!D140</f>
        <v>0</v>
      </c>
      <c r="C59" s="8"/>
      <c r="D59" s="8"/>
      <c r="E59" s="8">
        <f>Лист1!D316</f>
        <v>0</v>
      </c>
      <c r="F59" s="8"/>
      <c r="G59" s="8">
        <f>Лист1!D404</f>
        <v>0</v>
      </c>
      <c r="H59" s="8">
        <f>Лист1!D500</f>
        <v>0</v>
      </c>
      <c r="I59" s="8"/>
      <c r="J59" s="8">
        <f>Лист1!D569</f>
        <v>0</v>
      </c>
      <c r="K59" s="8"/>
      <c r="L59" s="8"/>
      <c r="M59" s="8"/>
      <c r="N59" s="8"/>
      <c r="O59" s="395">
        <f t="shared" si="4"/>
        <v>0</v>
      </c>
    </row>
    <row r="60" spans="1:15">
      <c r="A60" s="12">
        <v>225</v>
      </c>
      <c r="B60" s="8">
        <f>Лист1!D141</f>
        <v>378120</v>
      </c>
      <c r="C60" s="8"/>
      <c r="D60" s="8"/>
      <c r="E60" s="8">
        <f>Лист1!D317</f>
        <v>0</v>
      </c>
      <c r="F60" s="8">
        <f>Лист1!D355</f>
        <v>0</v>
      </c>
      <c r="G60" s="8">
        <f>Лист1!D405</f>
        <v>645764.4</v>
      </c>
      <c r="H60" s="8">
        <f>Лист1!D501</f>
        <v>311500</v>
      </c>
      <c r="I60" s="8"/>
      <c r="J60" s="8">
        <f>Лист1!D570</f>
        <v>1000</v>
      </c>
      <c r="K60" s="8">
        <f>Лист1!D622</f>
        <v>0</v>
      </c>
      <c r="L60" s="8"/>
      <c r="M60" s="8"/>
      <c r="N60" s="8"/>
      <c r="O60" s="395">
        <f t="shared" si="4"/>
        <v>1336384.3999999999</v>
      </c>
    </row>
    <row r="61" spans="1:15">
      <c r="A61" s="12">
        <v>226</v>
      </c>
      <c r="B61" s="8">
        <f>Лист1!D142</f>
        <v>1985121</v>
      </c>
      <c r="C61" s="8"/>
      <c r="D61" s="8">
        <f>Лист1!D259</f>
        <v>16000</v>
      </c>
      <c r="E61" s="8">
        <f>Лист1!D318</f>
        <v>0</v>
      </c>
      <c r="F61" s="8">
        <f>Лист1!D356</f>
        <v>0</v>
      </c>
      <c r="G61" s="8">
        <f>Лист1!D406</f>
        <v>1509338.47</v>
      </c>
      <c r="H61" s="8">
        <f>Лист1!D502</f>
        <v>279015.06</v>
      </c>
      <c r="I61" s="8">
        <f>Лист1!D553</f>
        <v>0</v>
      </c>
      <c r="J61" s="8">
        <f>Лист1!D571</f>
        <v>49377</v>
      </c>
      <c r="K61" s="8">
        <f>Лист1!D623</f>
        <v>14800</v>
      </c>
      <c r="L61" s="8"/>
      <c r="M61" s="8"/>
      <c r="N61" s="8"/>
      <c r="O61" s="395">
        <f t="shared" si="4"/>
        <v>3853651.53</v>
      </c>
    </row>
    <row r="62" spans="1:15">
      <c r="A62" s="12">
        <v>231</v>
      </c>
      <c r="B62" s="8"/>
      <c r="C62" s="8"/>
      <c r="D62" s="8"/>
      <c r="E62" s="8"/>
      <c r="F62" s="8"/>
      <c r="G62" s="8"/>
      <c r="H62" s="8"/>
      <c r="I62" s="8"/>
      <c r="J62" s="8"/>
      <c r="K62" s="8"/>
      <c r="L62" s="8"/>
      <c r="M62" s="8">
        <f>Лист1!D635</f>
        <v>216500</v>
      </c>
      <c r="N62" s="8"/>
      <c r="O62" s="395">
        <f t="shared" si="4"/>
        <v>216500</v>
      </c>
    </row>
    <row r="63" spans="1:15">
      <c r="A63" s="12">
        <v>242</v>
      </c>
      <c r="B63" s="8"/>
      <c r="C63" s="8"/>
      <c r="D63" s="8"/>
      <c r="E63" s="8">
        <f>Лист1!D319</f>
        <v>3069000</v>
      </c>
      <c r="F63" s="8">
        <f>Лист1!D358</f>
        <v>0</v>
      </c>
      <c r="G63" s="8"/>
      <c r="H63" s="8"/>
      <c r="I63" s="8"/>
      <c r="J63" s="8"/>
      <c r="K63" s="8"/>
      <c r="L63" s="8"/>
      <c r="M63" s="8"/>
      <c r="N63" s="8"/>
      <c r="O63" s="395">
        <f t="shared" si="4"/>
        <v>3069000</v>
      </c>
    </row>
    <row r="64" spans="1:15">
      <c r="A64" s="12">
        <v>251</v>
      </c>
      <c r="B64" s="8"/>
      <c r="C64" s="8"/>
      <c r="D64" s="8"/>
      <c r="E64" s="8"/>
      <c r="F64" s="8"/>
      <c r="G64" s="8"/>
      <c r="H64" s="8"/>
      <c r="I64" s="8"/>
      <c r="J64" s="8"/>
      <c r="K64" s="8"/>
      <c r="L64" s="8"/>
      <c r="M64" s="8"/>
      <c r="N64" s="8">
        <f>Лист1!D636</f>
        <v>6424200</v>
      </c>
      <c r="O64" s="395">
        <f t="shared" si="4"/>
        <v>6424200</v>
      </c>
    </row>
    <row r="65" spans="1:15">
      <c r="A65" s="12">
        <v>261</v>
      </c>
      <c r="B65" s="8">
        <f>Лист1!D143</f>
        <v>0</v>
      </c>
      <c r="C65" s="8"/>
      <c r="D65" s="8"/>
      <c r="E65" s="8"/>
      <c r="F65" s="8"/>
      <c r="G65" s="8"/>
      <c r="H65" s="8"/>
      <c r="I65" s="8"/>
      <c r="J65" s="8"/>
      <c r="K65" s="8"/>
      <c r="L65" s="8"/>
      <c r="M65" s="8"/>
      <c r="N65" s="8"/>
      <c r="O65" s="395">
        <f t="shared" si="4"/>
        <v>0</v>
      </c>
    </row>
    <row r="66" spans="1:15">
      <c r="A66" s="12">
        <v>262</v>
      </c>
      <c r="B66" s="8">
        <f>Лист1!D144</f>
        <v>0</v>
      </c>
      <c r="C66" s="8"/>
      <c r="D66" s="8">
        <f>Лист1!D260</f>
        <v>0</v>
      </c>
      <c r="E66" s="8"/>
      <c r="F66" s="8"/>
      <c r="G66" s="8"/>
      <c r="H66" s="8">
        <f>Лист1!D504</f>
        <v>0</v>
      </c>
      <c r="I66" s="8"/>
      <c r="J66" s="8">
        <f>Лист1!D572</f>
        <v>9665000</v>
      </c>
      <c r="K66" s="8"/>
      <c r="L66" s="8"/>
      <c r="M66" s="8"/>
      <c r="N66" s="8"/>
      <c r="O66" s="395">
        <f t="shared" si="4"/>
        <v>9665000</v>
      </c>
    </row>
    <row r="67" spans="1:15">
      <c r="A67" s="12">
        <v>263</v>
      </c>
      <c r="B67" s="8"/>
      <c r="C67" s="8"/>
      <c r="D67" s="8"/>
      <c r="E67" s="8"/>
      <c r="F67" s="8"/>
      <c r="G67" s="8"/>
      <c r="H67" s="8"/>
      <c r="I67" s="8"/>
      <c r="J67" s="8">
        <f>Лист1!D573</f>
        <v>1200000</v>
      </c>
      <c r="K67" s="8"/>
      <c r="L67" s="8"/>
      <c r="M67" s="8"/>
      <c r="N67" s="8"/>
      <c r="O67" s="395">
        <f t="shared" si="4"/>
        <v>1200000</v>
      </c>
    </row>
    <row r="68" spans="1:15">
      <c r="A68" s="12">
        <v>290</v>
      </c>
      <c r="B68" s="8">
        <f>Лист1!D145</f>
        <v>393400</v>
      </c>
      <c r="C68" s="8"/>
      <c r="D68" s="8">
        <f>Лист1!D261</f>
        <v>10000</v>
      </c>
      <c r="E68" s="8">
        <f>Лист1!D320</f>
        <v>511200</v>
      </c>
      <c r="F68" s="8">
        <f>Лист1!D359</f>
        <v>0</v>
      </c>
      <c r="G68" s="8">
        <f>Лист1!D407</f>
        <v>740913.02</v>
      </c>
      <c r="H68" s="8">
        <f>Лист1!D505</f>
        <v>193300</v>
      </c>
      <c r="I68" s="8"/>
      <c r="J68" s="8">
        <f>Лист1!D574</f>
        <v>0</v>
      </c>
      <c r="K68" s="8">
        <f>Лист1!D624</f>
        <v>110700</v>
      </c>
      <c r="L68" s="8"/>
      <c r="M68" s="8"/>
      <c r="N68" s="8"/>
      <c r="O68" s="395">
        <f t="shared" si="4"/>
        <v>1959513.02</v>
      </c>
    </row>
    <row r="69" spans="1:15">
      <c r="A69" s="12">
        <v>310</v>
      </c>
      <c r="B69" s="8">
        <f>Лист1!D146</f>
        <v>786005</v>
      </c>
      <c r="C69" s="8"/>
      <c r="D69" s="8">
        <f>Лист1!D262</f>
        <v>227000</v>
      </c>
      <c r="E69" s="8">
        <f>Лист1!D321</f>
        <v>0</v>
      </c>
      <c r="F69" s="8">
        <f>Лист1!D360</f>
        <v>0</v>
      </c>
      <c r="G69" s="8">
        <f>Лист1!D408</f>
        <v>971806.79</v>
      </c>
      <c r="H69" s="8">
        <f>Лист1!D506</f>
        <v>1708899.4</v>
      </c>
      <c r="I69" s="8"/>
      <c r="J69" s="8">
        <f>Лист1!D575</f>
        <v>10000</v>
      </c>
      <c r="K69" s="8">
        <f>Лист1!D625</f>
        <v>88800</v>
      </c>
      <c r="L69" s="8"/>
      <c r="M69" s="8"/>
      <c r="N69" s="8"/>
      <c r="O69" s="395">
        <f t="shared" si="4"/>
        <v>3792511.19</v>
      </c>
    </row>
    <row r="70" spans="1:15">
      <c r="A70" s="12">
        <v>330</v>
      </c>
      <c r="B70" s="8">
        <f>Лист1!D147</f>
        <v>0</v>
      </c>
      <c r="C70" s="8"/>
      <c r="D70" s="8"/>
      <c r="E70" s="8"/>
      <c r="F70" s="8"/>
      <c r="G70" s="8"/>
      <c r="H70" s="8"/>
      <c r="I70" s="8"/>
      <c r="J70" s="8"/>
      <c r="K70" s="8"/>
      <c r="L70" s="8"/>
      <c r="M70" s="8"/>
      <c r="N70" s="8"/>
      <c r="O70" s="395">
        <f t="shared" si="4"/>
        <v>0</v>
      </c>
    </row>
    <row r="71" spans="1:15">
      <c r="A71" s="12">
        <v>340</v>
      </c>
      <c r="B71" s="8">
        <f>Лист1!D148</f>
        <v>6188069.5899999999</v>
      </c>
      <c r="C71" s="8"/>
      <c r="D71" s="8">
        <f>Лист1!D263</f>
        <v>76800</v>
      </c>
      <c r="E71" s="8">
        <f>Лист1!D322</f>
        <v>6000</v>
      </c>
      <c r="F71" s="8">
        <f>Лист1!D361</f>
        <v>0</v>
      </c>
      <c r="G71" s="8">
        <f>Лист1!D409</f>
        <v>21538874.890000001</v>
      </c>
      <c r="H71" s="8">
        <f>Лист1!D507</f>
        <v>3314300</v>
      </c>
      <c r="I71" s="8">
        <f>Лист1!D554</f>
        <v>0</v>
      </c>
      <c r="J71" s="8">
        <f>Лист1!D576</f>
        <v>781219.09</v>
      </c>
      <c r="K71" s="8">
        <f>Лист1!D626</f>
        <v>11000</v>
      </c>
      <c r="L71" s="8"/>
      <c r="M71" s="8"/>
      <c r="N71" s="8"/>
      <c r="O71" s="395">
        <f t="shared" si="4"/>
        <v>31916263.57</v>
      </c>
    </row>
    <row r="72" spans="1:15">
      <c r="A72" s="12">
        <v>530</v>
      </c>
      <c r="B72" s="8"/>
      <c r="C72" s="8"/>
      <c r="D72" s="8"/>
      <c r="E72" s="8"/>
      <c r="F72" s="8">
        <f>Лист1!D362</f>
        <v>0</v>
      </c>
      <c r="G72" s="8"/>
      <c r="H72" s="8"/>
      <c r="I72" s="8"/>
      <c r="J72" s="8"/>
      <c r="K72" s="8"/>
      <c r="L72" s="8"/>
      <c r="M72" s="8"/>
      <c r="N72" s="8"/>
      <c r="O72" s="395">
        <f t="shared" si="4"/>
        <v>0</v>
      </c>
    </row>
    <row r="73" spans="1:15">
      <c r="A73" s="394" t="s">
        <v>66</v>
      </c>
      <c r="B73" s="395">
        <f>SUM(B53:B72)</f>
        <v>43266267.760000005</v>
      </c>
      <c r="C73" s="395">
        <f t="shared" ref="C73:N73" si="5">SUM(C53:C72)</f>
        <v>0</v>
      </c>
      <c r="D73" s="395">
        <f t="shared" si="5"/>
        <v>2091233</v>
      </c>
      <c r="E73" s="395">
        <f t="shared" si="5"/>
        <v>3806600</v>
      </c>
      <c r="F73" s="395">
        <f t="shared" si="5"/>
        <v>0</v>
      </c>
      <c r="G73" s="395">
        <f t="shared" si="5"/>
        <v>186209334</v>
      </c>
      <c r="H73" s="395">
        <f t="shared" si="5"/>
        <v>18459925.399999999</v>
      </c>
      <c r="I73" s="395">
        <f t="shared" si="5"/>
        <v>40000</v>
      </c>
      <c r="J73" s="395">
        <f t="shared" si="5"/>
        <v>13303400</v>
      </c>
      <c r="K73" s="395">
        <f t="shared" si="5"/>
        <v>291700</v>
      </c>
      <c r="L73" s="395">
        <f t="shared" si="5"/>
        <v>0</v>
      </c>
      <c r="M73" s="395">
        <f t="shared" si="5"/>
        <v>216500</v>
      </c>
      <c r="N73" s="395">
        <f t="shared" si="5"/>
        <v>6424200</v>
      </c>
      <c r="O73" s="395">
        <f>SUM(B73:N73)</f>
        <v>274109160.15999997</v>
      </c>
    </row>
    <row r="75" spans="1:15">
      <c r="A75" t="s">
        <v>2118</v>
      </c>
      <c r="O75" s="10">
        <f>SUM(O53:O72)</f>
        <v>274109160.16000003</v>
      </c>
    </row>
    <row r="76" spans="1:15">
      <c r="O76" s="10"/>
    </row>
    <row r="77" spans="1:15">
      <c r="A77" s="12"/>
      <c r="B77" s="12">
        <v>100</v>
      </c>
      <c r="C77" s="12">
        <v>200</v>
      </c>
      <c r="D77" s="12">
        <v>300</v>
      </c>
      <c r="E77" s="12">
        <v>400</v>
      </c>
      <c r="F77" s="12">
        <v>500</v>
      </c>
      <c r="G77" s="12">
        <v>700</v>
      </c>
      <c r="H77" s="12">
        <v>800</v>
      </c>
      <c r="I77" s="12">
        <v>900</v>
      </c>
      <c r="J77" s="12">
        <v>1000</v>
      </c>
      <c r="K77" s="12">
        <v>1101</v>
      </c>
      <c r="L77" s="12">
        <v>1105</v>
      </c>
      <c r="M77" s="12">
        <v>1301</v>
      </c>
      <c r="N77" s="12">
        <v>1403</v>
      </c>
      <c r="O77" s="12" t="s">
        <v>66</v>
      </c>
    </row>
    <row r="78" spans="1:15">
      <c r="A78" s="12">
        <v>211</v>
      </c>
      <c r="B78" s="8">
        <f>Лист1!C134</f>
        <v>43291922.170000002</v>
      </c>
      <c r="C78" s="8">
        <f>Лист1!C243</f>
        <v>454705</v>
      </c>
      <c r="D78" s="8">
        <f>Лист1!C253</f>
        <v>1282974</v>
      </c>
      <c r="E78" s="8">
        <f>Лист1!C310</f>
        <v>29252.66</v>
      </c>
      <c r="F78" s="8"/>
      <c r="G78" s="8">
        <f>Лист1!C398</f>
        <v>117962200</v>
      </c>
      <c r="H78" s="8">
        <f>Лист1!C494</f>
        <v>9190400</v>
      </c>
      <c r="I78" s="8">
        <f>Лист1!C557</f>
        <v>40000</v>
      </c>
      <c r="J78" s="8">
        <f>Лист1!C563</f>
        <v>1170576.74</v>
      </c>
      <c r="K78" s="8"/>
      <c r="L78" s="8"/>
      <c r="M78" s="8"/>
      <c r="N78" s="8"/>
      <c r="O78" s="395">
        <f>SUM(B78:N78)</f>
        <v>173422030.56999999</v>
      </c>
    </row>
    <row r="79" spans="1:15">
      <c r="A79" s="12">
        <v>212</v>
      </c>
      <c r="B79" s="8">
        <f>Лист1!C135</f>
        <v>2576810</v>
      </c>
      <c r="C79" s="8">
        <f>Лист1!C245</f>
        <v>0</v>
      </c>
      <c r="D79" s="8">
        <f>Лист1!C255</f>
        <v>50000</v>
      </c>
      <c r="E79" s="8">
        <f>Лист1!C311</f>
        <v>0</v>
      </c>
      <c r="F79" s="8"/>
      <c r="G79" s="8">
        <f>Лист1!C399</f>
        <v>1413971.97</v>
      </c>
      <c r="H79" s="8">
        <f>Лист1!C495</f>
        <v>277479</v>
      </c>
      <c r="I79" s="8"/>
      <c r="J79" s="8">
        <f>Лист1!C564</f>
        <v>1600</v>
      </c>
      <c r="K79" s="8"/>
      <c r="L79" s="8"/>
      <c r="M79" s="8"/>
      <c r="N79" s="8"/>
      <c r="O79" s="395">
        <f t="shared" ref="O79:O99" si="6">SUM(B79:N79)</f>
        <v>4319860.97</v>
      </c>
    </row>
    <row r="80" spans="1:15">
      <c r="A80" s="12">
        <v>213</v>
      </c>
      <c r="B80" s="8">
        <f>Лист1!C136</f>
        <v>12608960.960000001</v>
      </c>
      <c r="C80" s="8">
        <f>Лист1!C244</f>
        <v>137785</v>
      </c>
      <c r="D80" s="8">
        <f>Лист1!C254</f>
        <v>387459</v>
      </c>
      <c r="E80" s="8">
        <f>Лист1!C312</f>
        <v>8834.2999999999993</v>
      </c>
      <c r="F80" s="8"/>
      <c r="G80" s="8">
        <f>Лист1!C400</f>
        <v>35624100</v>
      </c>
      <c r="H80" s="8">
        <f>Лист1!C496</f>
        <v>2758100</v>
      </c>
      <c r="I80" s="8"/>
      <c r="J80" s="8">
        <f>Лист1!C565</f>
        <v>353514.17000000004</v>
      </c>
      <c r="K80" s="8"/>
      <c r="L80" s="8"/>
      <c r="M80" s="8"/>
      <c r="N80" s="8"/>
      <c r="O80" s="395">
        <f t="shared" si="6"/>
        <v>51878753.430000007</v>
      </c>
    </row>
    <row r="81" spans="1:15">
      <c r="A81" s="12">
        <v>221</v>
      </c>
      <c r="B81" s="8">
        <f>Лист1!C137</f>
        <v>1452539.01</v>
      </c>
      <c r="C81" s="8">
        <f>Лист1!C246</f>
        <v>9900</v>
      </c>
      <c r="D81" s="8">
        <f>Лист1!C256</f>
        <v>22000</v>
      </c>
      <c r="E81" s="8">
        <f>Лист1!C313</f>
        <v>16713.04</v>
      </c>
      <c r="F81" s="8"/>
      <c r="G81" s="8">
        <f>Лист1!C401</f>
        <v>796600</v>
      </c>
      <c r="H81" s="8">
        <f>Лист1!C497</f>
        <v>89953</v>
      </c>
      <c r="I81" s="8"/>
      <c r="J81" s="8">
        <f>Лист1!C566</f>
        <v>41775</v>
      </c>
      <c r="K81" s="8">
        <f>Лист1!C621</f>
        <v>96400</v>
      </c>
      <c r="L81" s="8"/>
      <c r="M81" s="8"/>
      <c r="N81" s="8"/>
      <c r="O81" s="395">
        <f t="shared" si="6"/>
        <v>2525880.0499999998</v>
      </c>
    </row>
    <row r="82" spans="1:15">
      <c r="A82" s="12">
        <v>222</v>
      </c>
      <c r="B82" s="8">
        <f>Лист1!C138</f>
        <v>1001628.21</v>
      </c>
      <c r="C82" s="8">
        <f>Лист1!C247</f>
        <v>15000</v>
      </c>
      <c r="D82" s="8">
        <f>Лист1!C257</f>
        <v>189000</v>
      </c>
      <c r="E82" s="8">
        <f>Лист1!C314</f>
        <v>165600</v>
      </c>
      <c r="F82" s="8">
        <f>Лист1!C352</f>
        <v>960000</v>
      </c>
      <c r="G82" s="8">
        <f>Лист1!C402</f>
        <v>389940</v>
      </c>
      <c r="H82" s="8">
        <f>Лист1!C498</f>
        <v>66226</v>
      </c>
      <c r="I82" s="8">
        <f>Лист1!C552</f>
        <v>0</v>
      </c>
      <c r="J82" s="8">
        <f>Лист1!C567</f>
        <v>15650</v>
      </c>
      <c r="K82" s="8"/>
      <c r="L82" s="8">
        <f>Лист1!E628</f>
        <v>25000</v>
      </c>
      <c r="M82" s="8"/>
      <c r="N82" s="8"/>
      <c r="O82" s="395">
        <f t="shared" si="6"/>
        <v>2828044.21</v>
      </c>
    </row>
    <row r="83" spans="1:15">
      <c r="A83" s="12">
        <v>223</v>
      </c>
      <c r="B83" s="8">
        <f>Лист1!C139</f>
        <v>2142289.67</v>
      </c>
      <c r="C83" s="8">
        <f>Лист1!C248</f>
        <v>4100</v>
      </c>
      <c r="D83" s="8"/>
      <c r="E83" s="8">
        <f>Лист1!C315</f>
        <v>0</v>
      </c>
      <c r="F83" s="8">
        <f>Лист1!C353</f>
        <v>3000300</v>
      </c>
      <c r="G83" s="8">
        <f>Лист1!C403</f>
        <v>4615824.46</v>
      </c>
      <c r="H83" s="8">
        <f>Лист1!C499</f>
        <v>270752.94</v>
      </c>
      <c r="I83" s="8"/>
      <c r="J83" s="8">
        <f>Лист1!C568</f>
        <v>13688</v>
      </c>
      <c r="K83" s="8"/>
      <c r="L83" s="8"/>
      <c r="M83" s="8"/>
      <c r="N83" s="8"/>
      <c r="O83" s="395">
        <f t="shared" si="6"/>
        <v>10046955.069999998</v>
      </c>
    </row>
    <row r="84" spans="1:15">
      <c r="A84" s="12">
        <v>224</v>
      </c>
      <c r="B84" s="8">
        <f>Лист1!C140</f>
        <v>0</v>
      </c>
      <c r="C84" s="8">
        <f>Лист1!C249</f>
        <v>3100</v>
      </c>
      <c r="D84" s="8"/>
      <c r="E84" s="8">
        <f>Лист1!C316</f>
        <v>0</v>
      </c>
      <c r="F84" s="8">
        <f>Лист1!C388</f>
        <v>0</v>
      </c>
      <c r="G84" s="8">
        <f>Лист1!C404</f>
        <v>0</v>
      </c>
      <c r="H84" s="8">
        <f>Лист1!C500</f>
        <v>0</v>
      </c>
      <c r="I84" s="8"/>
      <c r="J84" s="8">
        <f>Лист1!C569</f>
        <v>0</v>
      </c>
      <c r="K84" s="8"/>
      <c r="L84" s="8"/>
      <c r="M84" s="8"/>
      <c r="N84" s="8"/>
      <c r="O84" s="395">
        <f t="shared" si="6"/>
        <v>3100</v>
      </c>
    </row>
    <row r="85" spans="1:15">
      <c r="A85" s="12">
        <v>225</v>
      </c>
      <c r="B85" s="8">
        <f>Лист1!C141</f>
        <v>1146020</v>
      </c>
      <c r="C85" s="8"/>
      <c r="D85" s="8">
        <f>Лист1!C258</f>
        <v>16000</v>
      </c>
      <c r="E85" s="8">
        <f>Лист1!C317</f>
        <v>0</v>
      </c>
      <c r="F85" s="8">
        <f>Лист1!C355</f>
        <v>7345209.6499999994</v>
      </c>
      <c r="G85" s="8">
        <f>Лист1!C405</f>
        <v>645764.4</v>
      </c>
      <c r="H85" s="8">
        <f>Лист1!C501</f>
        <v>311500</v>
      </c>
      <c r="I85" s="8"/>
      <c r="J85" s="8">
        <f>Лист1!C570</f>
        <v>1000</v>
      </c>
      <c r="K85" s="8">
        <f>Лист1!C622</f>
        <v>0</v>
      </c>
      <c r="L85" s="8"/>
      <c r="M85" s="8"/>
      <c r="N85" s="8"/>
      <c r="O85" s="395">
        <f t="shared" si="6"/>
        <v>9465494.0499999989</v>
      </c>
    </row>
    <row r="86" spans="1:15">
      <c r="A86" s="12">
        <v>226</v>
      </c>
      <c r="B86" s="8">
        <f>Лист1!C142</f>
        <v>2744438.5</v>
      </c>
      <c r="C86" s="8">
        <f>Лист1!C250</f>
        <v>6000</v>
      </c>
      <c r="D86" s="8">
        <f>Лист1!C259</f>
        <v>685000</v>
      </c>
      <c r="E86" s="8">
        <f>Лист1!C318</f>
        <v>3342100</v>
      </c>
      <c r="F86" s="8">
        <f>Лист1!C356</f>
        <v>634300</v>
      </c>
      <c r="G86" s="8">
        <f>Лист1!C406</f>
        <v>1509338.47</v>
      </c>
      <c r="H86" s="8">
        <f>Лист1!C502</f>
        <v>394015.06</v>
      </c>
      <c r="I86" s="8">
        <f>Лист1!C553</f>
        <v>0</v>
      </c>
      <c r="J86" s="8">
        <f>Лист1!C571</f>
        <v>49377</v>
      </c>
      <c r="K86" s="8">
        <f>Лист1!C623</f>
        <v>44800</v>
      </c>
      <c r="L86" s="8">
        <f>Лист1!C629</f>
        <v>217500</v>
      </c>
      <c r="M86" s="8"/>
      <c r="N86" s="8"/>
      <c r="O86" s="395">
        <f t="shared" si="6"/>
        <v>9626869.0300000012</v>
      </c>
    </row>
    <row r="87" spans="1:15">
      <c r="A87" s="12">
        <v>231</v>
      </c>
      <c r="B87" s="8"/>
      <c r="C87" s="8"/>
      <c r="D87" s="8"/>
      <c r="E87" s="8"/>
      <c r="F87" s="8"/>
      <c r="G87" s="8"/>
      <c r="H87" s="8"/>
      <c r="I87" s="8"/>
      <c r="J87" s="8"/>
      <c r="K87" s="8"/>
      <c r="L87" s="8"/>
      <c r="M87" s="8">
        <f>Лист1!C635</f>
        <v>216500</v>
      </c>
      <c r="N87" s="8"/>
      <c r="O87" s="395">
        <f t="shared" si="6"/>
        <v>216500</v>
      </c>
    </row>
    <row r="88" spans="1:15">
      <c r="A88" s="12">
        <v>241</v>
      </c>
      <c r="B88" s="8"/>
      <c r="C88" s="8"/>
      <c r="D88" s="8"/>
      <c r="E88" s="8"/>
      <c r="F88" s="8">
        <f>Лист1!C357</f>
        <v>0</v>
      </c>
      <c r="G88" s="8"/>
      <c r="H88" s="8"/>
      <c r="I88" s="8"/>
      <c r="J88" s="8"/>
      <c r="K88" s="8"/>
      <c r="L88" s="8"/>
      <c r="M88" s="8"/>
      <c r="N88" s="8"/>
      <c r="O88" s="395">
        <f t="shared" si="6"/>
        <v>0</v>
      </c>
    </row>
    <row r="89" spans="1:15">
      <c r="A89" s="12">
        <v>242</v>
      </c>
      <c r="B89" s="8"/>
      <c r="C89" s="8"/>
      <c r="D89" s="8"/>
      <c r="E89" s="8">
        <f>Лист1!C319</f>
        <v>4141490</v>
      </c>
      <c r="F89" s="8">
        <f>Лист1!C358</f>
        <v>630000</v>
      </c>
      <c r="G89" s="8"/>
      <c r="H89" s="8">
        <f>Лист1!C503</f>
        <v>0</v>
      </c>
      <c r="I89" s="8"/>
      <c r="J89" s="8"/>
      <c r="K89" s="8"/>
      <c r="L89" s="8">
        <f>Лист1!C632</f>
        <v>10000</v>
      </c>
      <c r="M89" s="8"/>
      <c r="N89" s="8"/>
      <c r="O89" s="395">
        <f t="shared" si="6"/>
        <v>4781490</v>
      </c>
    </row>
    <row r="90" spans="1:15">
      <c r="A90" s="12">
        <v>251</v>
      </c>
      <c r="B90" s="8"/>
      <c r="C90" s="8"/>
      <c r="D90" s="8"/>
      <c r="E90" s="8"/>
      <c r="F90" s="8"/>
      <c r="G90" s="8"/>
      <c r="H90" s="8"/>
      <c r="I90" s="8"/>
      <c r="J90" s="8"/>
      <c r="K90" s="8"/>
      <c r="L90" s="8"/>
      <c r="M90" s="8"/>
      <c r="N90" s="8"/>
      <c r="O90" s="395">
        <f t="shared" si="6"/>
        <v>0</v>
      </c>
    </row>
    <row r="91" spans="1:15">
      <c r="A91" s="12">
        <v>261</v>
      </c>
      <c r="B91" s="8">
        <f>Лист1!C143</f>
        <v>0</v>
      </c>
      <c r="C91" s="8"/>
      <c r="D91" s="8"/>
      <c r="E91" s="8"/>
      <c r="F91" s="8"/>
      <c r="G91" s="8"/>
      <c r="H91" s="8"/>
      <c r="I91" s="8"/>
      <c r="J91" s="8"/>
      <c r="K91" s="8"/>
      <c r="L91" s="8"/>
      <c r="M91" s="8"/>
      <c r="N91" s="8"/>
      <c r="O91" s="395">
        <f t="shared" si="6"/>
        <v>0</v>
      </c>
    </row>
    <row r="92" spans="1:15">
      <c r="A92" s="12">
        <v>262</v>
      </c>
      <c r="B92" s="8">
        <f>Лист1!C144</f>
        <v>0</v>
      </c>
      <c r="C92" s="8"/>
      <c r="D92" s="8">
        <f>Лист1!C260</f>
        <v>0</v>
      </c>
      <c r="E92" s="8"/>
      <c r="F92" s="8"/>
      <c r="G92" s="8"/>
      <c r="H92" s="8"/>
      <c r="I92" s="8"/>
      <c r="J92" s="8">
        <f>Лист1!C572</f>
        <v>9665000</v>
      </c>
      <c r="K92" s="8"/>
      <c r="L92" s="8"/>
      <c r="M92" s="8"/>
      <c r="N92" s="8"/>
      <c r="O92" s="395">
        <f t="shared" si="6"/>
        <v>9665000</v>
      </c>
    </row>
    <row r="93" spans="1:15">
      <c r="A93" s="12">
        <v>263</v>
      </c>
      <c r="B93" s="8"/>
      <c r="C93" s="8"/>
      <c r="D93" s="8"/>
      <c r="E93" s="8"/>
      <c r="F93" s="8"/>
      <c r="G93" s="8"/>
      <c r="H93" s="8"/>
      <c r="I93" s="8"/>
      <c r="J93" s="8">
        <f>Лист1!C573</f>
        <v>1838000</v>
      </c>
      <c r="K93" s="8"/>
      <c r="L93" s="8"/>
      <c r="M93" s="8"/>
      <c r="N93" s="8"/>
      <c r="O93" s="395">
        <f t="shared" si="6"/>
        <v>1838000</v>
      </c>
    </row>
    <row r="94" spans="1:15">
      <c r="A94" s="12">
        <v>290</v>
      </c>
      <c r="B94" s="8">
        <f>Лист1!C145</f>
        <v>2669200</v>
      </c>
      <c r="C94" s="8"/>
      <c r="D94" s="8">
        <f>Лист1!C261</f>
        <v>30000</v>
      </c>
      <c r="E94" s="8">
        <f>Лист1!C320</f>
        <v>511200</v>
      </c>
      <c r="F94" s="8">
        <f>Лист1!C359</f>
        <v>0</v>
      </c>
      <c r="G94" s="8">
        <f>Лист1!C407</f>
        <v>740913.02</v>
      </c>
      <c r="H94" s="8">
        <f>Лист1!C505</f>
        <v>638800</v>
      </c>
      <c r="I94" s="8"/>
      <c r="J94" s="8">
        <f>Лист1!C574</f>
        <v>0</v>
      </c>
      <c r="K94" s="8">
        <f>Лист1!C624</f>
        <v>146700</v>
      </c>
      <c r="L94" s="8">
        <f>Лист1!C630</f>
        <v>40000</v>
      </c>
      <c r="M94" s="8"/>
      <c r="N94" s="8"/>
      <c r="O94" s="395">
        <f t="shared" si="6"/>
        <v>4776813.0199999996</v>
      </c>
    </row>
    <row r="95" spans="1:15">
      <c r="A95" s="12">
        <v>310</v>
      </c>
      <c r="B95" s="8">
        <f>Лист1!C146</f>
        <v>1578675</v>
      </c>
      <c r="C95" s="8"/>
      <c r="D95" s="8">
        <f>Лист1!C262</f>
        <v>892000</v>
      </c>
      <c r="E95" s="8">
        <f>Лист1!C321</f>
        <v>0</v>
      </c>
      <c r="F95" s="8">
        <f>Лист1!C360</f>
        <v>927700</v>
      </c>
      <c r="G95" s="8">
        <f>Лист1!C408</f>
        <v>971806.79</v>
      </c>
      <c r="H95" s="8">
        <f>Лист1!C506</f>
        <v>1710899.4</v>
      </c>
      <c r="I95" s="8"/>
      <c r="J95" s="8">
        <f>Лист1!C575</f>
        <v>10000</v>
      </c>
      <c r="K95" s="8">
        <f>Лист1!C625</f>
        <v>98800</v>
      </c>
      <c r="L95" s="8">
        <f>Лист1!C631</f>
        <v>18000</v>
      </c>
      <c r="M95" s="8"/>
      <c r="N95" s="8"/>
      <c r="O95" s="395">
        <f t="shared" si="6"/>
        <v>6207881.1899999995</v>
      </c>
    </row>
    <row r="96" spans="1:15">
      <c r="A96" s="12">
        <v>330</v>
      </c>
      <c r="B96" s="8">
        <f>Лист1!C147</f>
        <v>0</v>
      </c>
      <c r="C96" s="8"/>
      <c r="D96" s="8"/>
      <c r="E96" s="8"/>
      <c r="F96" s="8"/>
      <c r="G96" s="8"/>
      <c r="H96" s="8"/>
      <c r="I96" s="8"/>
      <c r="J96" s="8"/>
      <c r="K96" s="8"/>
      <c r="L96" s="8"/>
      <c r="M96" s="8"/>
      <c r="N96" s="8"/>
      <c r="O96" s="395">
        <f t="shared" si="6"/>
        <v>0</v>
      </c>
    </row>
    <row r="97" spans="1:15">
      <c r="A97" s="12">
        <v>340</v>
      </c>
      <c r="B97" s="8">
        <f>Лист1!C148</f>
        <v>7499334.5899999999</v>
      </c>
      <c r="C97" s="8">
        <f>Лист1!C251</f>
        <v>8410</v>
      </c>
      <c r="D97" s="8">
        <f>Лист1!C263</f>
        <v>306800</v>
      </c>
      <c r="E97" s="8">
        <f>Лист1!C322</f>
        <v>6000</v>
      </c>
      <c r="F97" s="8">
        <f>Лист1!C361</f>
        <v>2135500</v>
      </c>
      <c r="G97" s="8">
        <f>Лист1!C409</f>
        <v>21538874.890000001</v>
      </c>
      <c r="H97" s="8">
        <f>Лист1!C507</f>
        <v>3435800</v>
      </c>
      <c r="I97" s="8">
        <f>Лист1!C554</f>
        <v>0</v>
      </c>
      <c r="J97" s="8">
        <f>Лист1!C576</f>
        <v>781219.09</v>
      </c>
      <c r="K97" s="8">
        <f>Лист1!C626</f>
        <v>15000</v>
      </c>
      <c r="L97" s="8">
        <f>Лист1!C633</f>
        <v>52000</v>
      </c>
      <c r="M97" s="8"/>
      <c r="N97" s="8"/>
      <c r="O97" s="395">
        <f t="shared" si="6"/>
        <v>35778938.570000008</v>
      </c>
    </row>
    <row r="98" spans="1:15">
      <c r="A98" s="12">
        <v>530</v>
      </c>
      <c r="B98" s="8"/>
      <c r="C98" s="8"/>
      <c r="D98" s="8"/>
      <c r="E98" s="8"/>
      <c r="F98" s="8">
        <f>Лист1!C362</f>
        <v>0</v>
      </c>
      <c r="G98" s="8"/>
      <c r="H98" s="8"/>
      <c r="I98" s="8"/>
      <c r="J98" s="8"/>
      <c r="K98" s="8"/>
      <c r="L98" s="8"/>
      <c r="M98" s="8"/>
      <c r="N98" s="8"/>
      <c r="O98" s="395">
        <f t="shared" si="6"/>
        <v>0</v>
      </c>
    </row>
    <row r="99" spans="1:15">
      <c r="A99" s="394" t="s">
        <v>66</v>
      </c>
      <c r="B99" s="395">
        <f>SUM(B78:B98)</f>
        <v>78711818.110000014</v>
      </c>
      <c r="C99" s="395">
        <f t="shared" ref="C99:N99" si="7">SUM(C78:C98)</f>
        <v>639000</v>
      </c>
      <c r="D99" s="395">
        <f t="shared" si="7"/>
        <v>3861233</v>
      </c>
      <c r="E99" s="395">
        <f t="shared" si="7"/>
        <v>8221190</v>
      </c>
      <c r="F99" s="395">
        <f t="shared" si="7"/>
        <v>15633009.649999999</v>
      </c>
      <c r="G99" s="395">
        <f t="shared" si="7"/>
        <v>186209334</v>
      </c>
      <c r="H99" s="395">
        <f t="shared" si="7"/>
        <v>19143925.399999999</v>
      </c>
      <c r="I99" s="395">
        <f t="shared" si="7"/>
        <v>40000</v>
      </c>
      <c r="J99" s="395">
        <f t="shared" si="7"/>
        <v>13941400</v>
      </c>
      <c r="K99" s="395">
        <f t="shared" si="7"/>
        <v>401700</v>
      </c>
      <c r="L99" s="395">
        <f t="shared" si="7"/>
        <v>362500</v>
      </c>
      <c r="M99" s="395">
        <f t="shared" si="7"/>
        <v>216500</v>
      </c>
      <c r="N99" s="395">
        <f t="shared" si="7"/>
        <v>0</v>
      </c>
      <c r="O99" s="395">
        <f t="shared" si="6"/>
        <v>327381610.15999997</v>
      </c>
    </row>
    <row r="101" spans="1:15">
      <c r="O101" s="10">
        <f>SUM(O78:O98)</f>
        <v>327381610.15999997</v>
      </c>
    </row>
    <row r="103" spans="1:15">
      <c r="C103" s="10"/>
      <c r="F103" s="10" t="s">
        <v>2119</v>
      </c>
    </row>
  </sheetData>
  <phoneticPr fontId="0" type="noConversion"/>
  <pageMargins left="0.75" right="0.16" top="1" bottom="0.46" header="0.5" footer="0.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Лист11"/>
  <dimension ref="A1:F87"/>
  <sheetViews>
    <sheetView topLeftCell="A19" workbookViewId="0">
      <selection activeCell="D5" sqref="D5"/>
    </sheetView>
  </sheetViews>
  <sheetFormatPr defaultRowHeight="11.25"/>
  <cols>
    <col min="1" max="1" width="52.1640625" style="2" customWidth="1"/>
    <col min="2" max="2" width="7" customWidth="1"/>
    <col min="3" max="3" width="8" customWidth="1"/>
    <col min="4" max="4" width="15.33203125" customWidth="1"/>
    <col min="5" max="6" width="14.5" bestFit="1" customWidth="1"/>
  </cols>
  <sheetData>
    <row r="1" spans="1:6" ht="76.5">
      <c r="A1" s="580" t="s">
        <v>2137</v>
      </c>
      <c r="B1" s="580" t="s">
        <v>1348</v>
      </c>
      <c r="C1" s="580" t="s">
        <v>1349</v>
      </c>
      <c r="D1" s="581" t="s">
        <v>747</v>
      </c>
      <c r="E1" s="581" t="s">
        <v>2135</v>
      </c>
      <c r="F1" s="581" t="s">
        <v>2136</v>
      </c>
    </row>
    <row r="2" spans="1:6" ht="15.75">
      <c r="A2" s="583" t="s">
        <v>2417</v>
      </c>
      <c r="B2" s="589">
        <v>10</v>
      </c>
      <c r="C2" s="589"/>
      <c r="D2" s="590">
        <f>D3+D8+D14+D15</f>
        <v>85132424.060000002</v>
      </c>
      <c r="E2" s="590">
        <f>E3+E8+E14+E15</f>
        <v>71437807.350000009</v>
      </c>
      <c r="F2" s="590">
        <f>F3+F8+F14+F15</f>
        <v>13694616.709999992</v>
      </c>
    </row>
    <row r="3" spans="1:6">
      <c r="A3" s="586" t="s">
        <v>2418</v>
      </c>
      <c r="B3" s="591">
        <v>20</v>
      </c>
      <c r="C3" s="591">
        <v>100</v>
      </c>
      <c r="D3" s="592">
        <f>SUM(D4:D7)</f>
        <v>10162772.73</v>
      </c>
      <c r="E3" s="592">
        <f>SUM(E4:E7)</f>
        <v>7754346.4900000002</v>
      </c>
      <c r="F3" s="592">
        <f>SUM(F4:F7)</f>
        <v>2408426.2399999998</v>
      </c>
    </row>
    <row r="4" spans="1:6">
      <c r="A4" s="45" t="s">
        <v>2419</v>
      </c>
      <c r="B4" s="12">
        <v>30</v>
      </c>
      <c r="C4" s="12">
        <v>110</v>
      </c>
      <c r="D4" s="582">
        <f>Лист1!F18+Лист1!F19+Лист1!F21+Лист1!F24+Лист1!F25+Лист1!F26+Лист1!F27+Лист1!F33+Лист1!F34+Лист1!F35+Лист1!F39+Лист1!F40+Лист1!F43+Лист1!F44+Лист1!F46+Лист1!F49+Лист1!F50</f>
        <v>8145348.21</v>
      </c>
      <c r="E4" s="582">
        <f>Лист1!G18+Лист1!G19+Лист1!G21+Лист1!G24+Лист1!G25+Лист1!G26+Лист1!G27+Лист1!G33+Лист1!G34+Лист1!G43+Лист1!G44+Лист1!G46+Лист1!G50</f>
        <v>5849457.4800000004</v>
      </c>
      <c r="F4" s="582">
        <f>D4-E4</f>
        <v>2295890.7299999995</v>
      </c>
    </row>
    <row r="5" spans="1:6">
      <c r="A5" s="45" t="s">
        <v>2420</v>
      </c>
      <c r="B5" s="12">
        <v>40</v>
      </c>
      <c r="C5" s="12">
        <v>120</v>
      </c>
      <c r="D5" s="582">
        <f>Лист1!F55+Лист1!F56+Лист1!F57+Лист1!F58+Лист1!F59+Лист1!F60+Лист1!F61+Лист1!F62</f>
        <v>294495.51000000007</v>
      </c>
      <c r="E5" s="582">
        <f>Лист1!G55+Лист1!G56+Лист1!G57+Лист1!G59+Лист1!G60+Лист1!G61+Лист1!G62</f>
        <v>181960</v>
      </c>
      <c r="F5" s="582">
        <f>D5-E5</f>
        <v>112535.51000000007</v>
      </c>
    </row>
    <row r="6" spans="1:6">
      <c r="A6" s="45" t="s">
        <v>2421</v>
      </c>
      <c r="B6" s="12">
        <v>50</v>
      </c>
      <c r="C6" s="12">
        <v>130</v>
      </c>
      <c r="D6" s="582">
        <f>Лист1!F63</f>
        <v>1608563.72</v>
      </c>
      <c r="E6" s="582">
        <f>Лист1!G63</f>
        <v>1608563.72</v>
      </c>
      <c r="F6" s="582">
        <f>D6-E6</f>
        <v>0</v>
      </c>
    </row>
    <row r="7" spans="1:6">
      <c r="A7" s="45" t="s">
        <v>2422</v>
      </c>
      <c r="B7" s="12">
        <v>60</v>
      </c>
      <c r="C7" s="12">
        <v>140</v>
      </c>
      <c r="D7" s="582">
        <f>Лист1!F65+Лист1!F66+Лист1!F68+Лист1!F69+Лист1!F72+Лист1!F77+Лист1!F82+Лист1!F83</f>
        <v>114365.29</v>
      </c>
      <c r="E7" s="582">
        <f>Лист1!G65+Лист1!G66+Лист1!G68+Лист1!G69+Лист1!G72+Лист1!G77+Лист1!G82+Лист1!G83</f>
        <v>114365.29</v>
      </c>
      <c r="F7" s="582">
        <f>D7-E7</f>
        <v>0</v>
      </c>
    </row>
    <row r="8" spans="1:6" ht="22.5">
      <c r="A8" s="586" t="s">
        <v>1829</v>
      </c>
      <c r="B8" s="591">
        <v>70</v>
      </c>
      <c r="C8" s="591">
        <v>150</v>
      </c>
      <c r="D8" s="592">
        <f>D9</f>
        <v>74912499.489999995</v>
      </c>
      <c r="E8" s="592">
        <f>E9</f>
        <v>63681554.020000003</v>
      </c>
      <c r="F8" s="592">
        <f>F9</f>
        <v>11230945.469999991</v>
      </c>
    </row>
    <row r="9" spans="1:6" ht="22.5">
      <c r="A9" s="45" t="s">
        <v>1830</v>
      </c>
      <c r="B9" s="12">
        <v>71</v>
      </c>
      <c r="C9" s="12">
        <v>151</v>
      </c>
      <c r="D9" s="582">
        <f>Лист1!H91+Лист1!G91+Лист1!F121+Лист1!F122</f>
        <v>74912499.489999995</v>
      </c>
      <c r="E9" s="582">
        <f>Лист1!G91+Лист1!F121</f>
        <v>63681554.020000003</v>
      </c>
      <c r="F9" s="582">
        <f>D9-E9</f>
        <v>11230945.469999991</v>
      </c>
    </row>
    <row r="10" spans="1:6" ht="22.5">
      <c r="A10" s="45" t="s">
        <v>1831</v>
      </c>
      <c r="B10" s="12">
        <v>72</v>
      </c>
      <c r="C10" s="12">
        <v>152</v>
      </c>
      <c r="D10" s="582"/>
      <c r="E10" s="582"/>
      <c r="F10" s="582"/>
    </row>
    <row r="11" spans="1:6">
      <c r="A11" s="45" t="s">
        <v>1832</v>
      </c>
      <c r="B11" s="12">
        <v>73</v>
      </c>
      <c r="C11" s="12">
        <v>153</v>
      </c>
      <c r="D11" s="582"/>
      <c r="E11" s="582"/>
      <c r="F11" s="582"/>
    </row>
    <row r="12" spans="1:6">
      <c r="A12" s="45" t="s">
        <v>1833</v>
      </c>
      <c r="B12" s="12">
        <v>80</v>
      </c>
      <c r="C12" s="12">
        <v>160</v>
      </c>
      <c r="D12" s="582"/>
      <c r="E12" s="582"/>
      <c r="F12" s="582"/>
    </row>
    <row r="13" spans="1:6">
      <c r="A13" s="45" t="s">
        <v>1834</v>
      </c>
      <c r="B13" s="12">
        <v>110</v>
      </c>
      <c r="C13" s="12">
        <v>171</v>
      </c>
      <c r="D13" s="582"/>
      <c r="E13" s="582"/>
      <c r="F13" s="582"/>
    </row>
    <row r="14" spans="1:6">
      <c r="A14" s="45" t="s">
        <v>1835</v>
      </c>
      <c r="B14" s="12">
        <v>120</v>
      </c>
      <c r="C14" s="12">
        <v>180</v>
      </c>
      <c r="D14" s="582">
        <f>Лист1!F87+Лист1!F88</f>
        <v>57151.839999999997</v>
      </c>
      <c r="E14" s="582">
        <f>Лист1!G87+Лист1!G88</f>
        <v>1906.84</v>
      </c>
      <c r="F14" s="582">
        <f>D14-E14</f>
        <v>55245</v>
      </c>
    </row>
    <row r="15" spans="1:6">
      <c r="A15" s="586" t="s">
        <v>1836</v>
      </c>
      <c r="B15" s="591">
        <v>130</v>
      </c>
      <c r="C15" s="591"/>
      <c r="D15" s="592">
        <f>D17</f>
        <v>0</v>
      </c>
      <c r="E15" s="592">
        <f>E17</f>
        <v>0</v>
      </c>
      <c r="F15" s="592"/>
    </row>
    <row r="16" spans="1:6">
      <c r="A16" s="45" t="s">
        <v>1837</v>
      </c>
      <c r="B16" s="12">
        <v>140</v>
      </c>
      <c r="C16" s="12">
        <v>400</v>
      </c>
      <c r="D16" s="582">
        <f>D20</f>
        <v>0</v>
      </c>
      <c r="E16" s="582">
        <f>E20</f>
        <v>0</v>
      </c>
      <c r="F16" s="582"/>
    </row>
    <row r="17" spans="1:6">
      <c r="A17" s="45" t="s">
        <v>1838</v>
      </c>
      <c r="B17" s="12">
        <v>141</v>
      </c>
      <c r="C17" s="12">
        <v>410</v>
      </c>
      <c r="D17" s="582">
        <f>Лист1!F64</f>
        <v>0</v>
      </c>
      <c r="E17" s="582">
        <f>Лист1!G64</f>
        <v>0</v>
      </c>
      <c r="F17" s="582"/>
    </row>
    <row r="18" spans="1:6">
      <c r="A18" s="45" t="s">
        <v>1839</v>
      </c>
      <c r="B18" s="12">
        <v>142</v>
      </c>
      <c r="C18" s="12">
        <v>420</v>
      </c>
      <c r="D18" s="582"/>
      <c r="E18" s="582"/>
      <c r="F18" s="582"/>
    </row>
    <row r="19" spans="1:6">
      <c r="A19" s="45" t="s">
        <v>1840</v>
      </c>
      <c r="B19" s="12">
        <v>143</v>
      </c>
      <c r="C19" s="12">
        <v>430</v>
      </c>
      <c r="D19" s="582"/>
      <c r="E19" s="582"/>
      <c r="F19" s="582"/>
    </row>
    <row r="20" spans="1:6">
      <c r="A20" s="45" t="s">
        <v>1841</v>
      </c>
      <c r="B20" s="12">
        <v>144</v>
      </c>
      <c r="C20" s="12">
        <v>440</v>
      </c>
      <c r="D20" s="582"/>
      <c r="E20" s="582"/>
      <c r="F20" s="582"/>
    </row>
    <row r="21" spans="1:6">
      <c r="A21" s="45" t="s">
        <v>1842</v>
      </c>
      <c r="B21" s="12">
        <v>150</v>
      </c>
      <c r="C21" s="12"/>
      <c r="D21" s="582"/>
      <c r="E21" s="582"/>
      <c r="F21" s="582"/>
    </row>
    <row r="22" spans="1:6">
      <c r="A22" s="45" t="s">
        <v>1843</v>
      </c>
      <c r="B22" s="12">
        <v>160</v>
      </c>
      <c r="C22" s="12">
        <v>600</v>
      </c>
      <c r="D22" s="582"/>
      <c r="E22" s="582"/>
      <c r="F22" s="582"/>
    </row>
    <row r="23" spans="1:6" ht="22.5">
      <c r="A23" s="45" t="s">
        <v>1844</v>
      </c>
      <c r="B23" s="12">
        <v>161</v>
      </c>
      <c r="C23" s="12">
        <v>620</v>
      </c>
      <c r="D23" s="582"/>
      <c r="E23" s="582"/>
      <c r="F23" s="582"/>
    </row>
    <row r="24" spans="1:6">
      <c r="A24" s="45" t="s">
        <v>1845</v>
      </c>
      <c r="B24" s="12">
        <v>162</v>
      </c>
      <c r="C24" s="12">
        <v>630</v>
      </c>
      <c r="D24" s="582"/>
      <c r="E24" s="582"/>
      <c r="F24" s="582"/>
    </row>
    <row r="25" spans="1:6">
      <c r="A25" s="45" t="s">
        <v>1846</v>
      </c>
      <c r="B25" s="12">
        <v>163</v>
      </c>
      <c r="C25" s="12">
        <v>640</v>
      </c>
      <c r="D25" s="582"/>
      <c r="E25" s="582"/>
      <c r="F25" s="582"/>
    </row>
    <row r="26" spans="1:6">
      <c r="A26" s="45" t="s">
        <v>1847</v>
      </c>
      <c r="B26" s="12">
        <v>164</v>
      </c>
      <c r="C26" s="12">
        <v>650</v>
      </c>
      <c r="D26" s="582"/>
      <c r="E26" s="582"/>
      <c r="F26" s="582"/>
    </row>
    <row r="27" spans="1:6">
      <c r="A27" s="45" t="s">
        <v>1848</v>
      </c>
      <c r="B27" s="12">
        <v>180</v>
      </c>
      <c r="C27" s="12">
        <v>700</v>
      </c>
      <c r="D27" s="582"/>
      <c r="E27" s="582"/>
      <c r="F27" s="582"/>
    </row>
    <row r="28" spans="1:6" ht="22.5">
      <c r="A28" s="45" t="s">
        <v>1849</v>
      </c>
      <c r="B28" s="12">
        <v>181</v>
      </c>
      <c r="C28" s="12">
        <v>710</v>
      </c>
      <c r="D28" s="582"/>
      <c r="E28" s="582"/>
      <c r="F28" s="582"/>
    </row>
    <row r="29" spans="1:6">
      <c r="A29" s="45" t="s">
        <v>1850</v>
      </c>
      <c r="B29" s="12">
        <v>182</v>
      </c>
      <c r="C29" s="12">
        <v>720</v>
      </c>
      <c r="D29" s="582"/>
      <c r="E29" s="582"/>
      <c r="F29" s="582"/>
    </row>
    <row r="30" spans="1:6">
      <c r="A30" s="595" t="s">
        <v>2474</v>
      </c>
      <c r="B30" s="596">
        <v>200</v>
      </c>
      <c r="C30" s="596"/>
      <c r="D30" s="597">
        <f>D31</f>
        <v>945038.1</v>
      </c>
      <c r="E30" s="597">
        <f>E31</f>
        <v>80000</v>
      </c>
      <c r="F30" s="597">
        <f>F31</f>
        <v>865038.1</v>
      </c>
    </row>
    <row r="31" spans="1:6" ht="22.5">
      <c r="A31" s="45" t="s">
        <v>2475</v>
      </c>
      <c r="B31" s="12">
        <v>201</v>
      </c>
      <c r="C31" s="12"/>
      <c r="D31" s="582">
        <f>Лист1!F125+Лист1!F126</f>
        <v>945038.1</v>
      </c>
      <c r="E31" s="582">
        <f>Лист1!F125</f>
        <v>80000</v>
      </c>
      <c r="F31" s="582">
        <f>D31-E31</f>
        <v>865038.1</v>
      </c>
    </row>
    <row r="32" spans="1:6" ht="22.5">
      <c r="A32" s="45" t="s">
        <v>2476</v>
      </c>
      <c r="B32" s="12">
        <v>202</v>
      </c>
      <c r="C32" s="12"/>
      <c r="D32" s="582"/>
      <c r="E32" s="582"/>
      <c r="F32" s="582"/>
    </row>
    <row r="33" spans="1:6" ht="33.75">
      <c r="A33" s="45" t="s">
        <v>2477</v>
      </c>
      <c r="B33" s="12">
        <v>203</v>
      </c>
      <c r="C33" s="12"/>
      <c r="D33" s="582"/>
      <c r="E33" s="582"/>
      <c r="F33" s="582"/>
    </row>
    <row r="34" spans="1:6" ht="22.5">
      <c r="A34" s="45" t="s">
        <v>2478</v>
      </c>
      <c r="B34" s="12">
        <v>204</v>
      </c>
      <c r="C34" s="12"/>
      <c r="D34" s="582"/>
      <c r="E34" s="582"/>
      <c r="F34" s="582"/>
    </row>
    <row r="35" spans="1:6" ht="15.75">
      <c r="A35" s="583" t="s">
        <v>2479</v>
      </c>
      <c r="B35" s="584">
        <v>210</v>
      </c>
      <c r="C35" s="584"/>
      <c r="D35" s="585" t="e">
        <f>D36+D65</f>
        <v>#REF!</v>
      </c>
      <c r="E35" s="585" t="e">
        <f>E36+E65</f>
        <v>#REF!</v>
      </c>
      <c r="F35" s="585">
        <f>F36+F65</f>
        <v>11086941.220000006</v>
      </c>
    </row>
    <row r="36" spans="1:6">
      <c r="A36" s="593" t="s">
        <v>2480</v>
      </c>
      <c r="B36" s="570">
        <v>220</v>
      </c>
      <c r="C36" s="570">
        <v>200</v>
      </c>
      <c r="D36" s="594" t="e">
        <f>D37+D41+D49+D51+D56+D60+D64</f>
        <v>#REF!</v>
      </c>
      <c r="E36" s="594" t="e">
        <f>E37+E41+E49+E51+E56+E60+E64</f>
        <v>#REF!</v>
      </c>
      <c r="F36" s="594">
        <f>F37+F41+F49+F51+F56+F60+F64</f>
        <v>10738162.220000006</v>
      </c>
    </row>
    <row r="37" spans="1:6" ht="22.5">
      <c r="A37" s="586" t="s">
        <v>2481</v>
      </c>
      <c r="B37" s="587">
        <v>230</v>
      </c>
      <c r="C37" s="587">
        <v>210</v>
      </c>
      <c r="D37" s="588">
        <f>SUM(D38:D40)</f>
        <v>64012875.850000009</v>
      </c>
      <c r="E37" s="588">
        <f>SUM(E38:E40)</f>
        <v>57948234.219999999</v>
      </c>
      <c r="F37" s="588">
        <f>SUM(F38:F40)</f>
        <v>6064641.6300000064</v>
      </c>
    </row>
    <row r="38" spans="1:6">
      <c r="A38" s="45" t="s">
        <v>2482</v>
      </c>
      <c r="B38" s="12">
        <v>231</v>
      </c>
      <c r="C38" s="12">
        <v>211</v>
      </c>
      <c r="D38" s="582">
        <f>Лист2!O28</f>
        <v>48116365.840000011</v>
      </c>
      <c r="E38" s="582">
        <f>Лист2!O4</f>
        <v>43545224.300000004</v>
      </c>
      <c r="F38" s="582">
        <f>D38-E38</f>
        <v>4571141.5400000066</v>
      </c>
    </row>
    <row r="39" spans="1:6">
      <c r="A39" s="45" t="s">
        <v>2483</v>
      </c>
      <c r="B39" s="12">
        <v>232</v>
      </c>
      <c r="C39" s="12">
        <v>212</v>
      </c>
      <c r="D39" s="582">
        <f>Лист2!O29</f>
        <v>1728556.0899999999</v>
      </c>
      <c r="E39" s="582">
        <f>Лист2!O5</f>
        <v>1355903.73</v>
      </c>
      <c r="F39" s="582">
        <f t="shared" ref="F39:F49" si="0">D39-E39</f>
        <v>372652.35999999987</v>
      </c>
    </row>
    <row r="40" spans="1:6">
      <c r="A40" s="45" t="s">
        <v>2484</v>
      </c>
      <c r="B40" s="12">
        <v>233</v>
      </c>
      <c r="C40" s="12">
        <v>213</v>
      </c>
      <c r="D40" s="582">
        <f>Лист2!O30</f>
        <v>14167953.920000002</v>
      </c>
      <c r="E40" s="582">
        <f>Лист2!O6</f>
        <v>13047106.190000001</v>
      </c>
      <c r="F40" s="582">
        <f t="shared" si="0"/>
        <v>1120847.7300000004</v>
      </c>
    </row>
    <row r="41" spans="1:6">
      <c r="A41" s="586" t="s">
        <v>2485</v>
      </c>
      <c r="B41" s="587">
        <v>240</v>
      </c>
      <c r="C41" s="587">
        <v>220</v>
      </c>
      <c r="D41" s="588">
        <f>SUM(D42:D47)</f>
        <v>7901093.4799999995</v>
      </c>
      <c r="E41" s="588">
        <f>SUM(E42:E47)</f>
        <v>5689326.7799999993</v>
      </c>
      <c r="F41" s="588">
        <f t="shared" si="0"/>
        <v>2211766.7000000002</v>
      </c>
    </row>
    <row r="42" spans="1:6">
      <c r="A42" s="45" t="s">
        <v>2486</v>
      </c>
      <c r="B42" s="12">
        <v>241</v>
      </c>
      <c r="C42" s="12">
        <v>221</v>
      </c>
      <c r="D42" s="582">
        <f>Лист2!O31</f>
        <v>731462.55</v>
      </c>
      <c r="E42" s="582">
        <f>Лист2!O7</f>
        <v>547978.39</v>
      </c>
      <c r="F42" s="582">
        <f t="shared" si="0"/>
        <v>183484.16000000003</v>
      </c>
    </row>
    <row r="43" spans="1:6">
      <c r="A43" s="45" t="s">
        <v>2487</v>
      </c>
      <c r="B43" s="12">
        <v>242</v>
      </c>
      <c r="C43" s="12">
        <v>222</v>
      </c>
      <c r="D43" s="582">
        <f>Лист2!O32</f>
        <v>902855.03999999992</v>
      </c>
      <c r="E43" s="582">
        <f>Лист2!O8</f>
        <v>335182.40000000002</v>
      </c>
      <c r="F43" s="582">
        <f t="shared" si="0"/>
        <v>567672.6399999999</v>
      </c>
    </row>
    <row r="44" spans="1:6">
      <c r="A44" s="45" t="s">
        <v>2488</v>
      </c>
      <c r="B44" s="12">
        <v>243</v>
      </c>
      <c r="C44" s="12">
        <v>223</v>
      </c>
      <c r="D44" s="582">
        <f>Лист2!O33</f>
        <v>4419126.6899999995</v>
      </c>
      <c r="E44" s="582">
        <f>Лист2!O9</f>
        <v>3851924.9099999997</v>
      </c>
      <c r="F44" s="582">
        <f t="shared" si="0"/>
        <v>567201.7799999998</v>
      </c>
    </row>
    <row r="45" spans="1:6">
      <c r="A45" s="45" t="s">
        <v>2489</v>
      </c>
      <c r="B45" s="12">
        <v>244</v>
      </c>
      <c r="C45" s="12">
        <v>224</v>
      </c>
      <c r="D45" s="582">
        <f>Лист2!O34</f>
        <v>0</v>
      </c>
      <c r="E45" s="582">
        <f>Лист2!O10</f>
        <v>0</v>
      </c>
      <c r="F45" s="582">
        <f t="shared" si="0"/>
        <v>0</v>
      </c>
    </row>
    <row r="46" spans="1:6">
      <c r="A46" s="45" t="s">
        <v>2490</v>
      </c>
      <c r="B46" s="12">
        <v>245</v>
      </c>
      <c r="C46" s="12">
        <v>225</v>
      </c>
      <c r="D46" s="582">
        <f>Лист2!O35</f>
        <v>425147.24</v>
      </c>
      <c r="E46" s="582">
        <f>Лист2!O11</f>
        <v>130568.86</v>
      </c>
      <c r="F46" s="582">
        <f t="shared" si="0"/>
        <v>294578.38</v>
      </c>
    </row>
    <row r="47" spans="1:6">
      <c r="A47" s="45" t="s">
        <v>2491</v>
      </c>
      <c r="B47" s="12">
        <v>246</v>
      </c>
      <c r="C47" s="12">
        <v>226</v>
      </c>
      <c r="D47" s="582">
        <f>Лист2!O36</f>
        <v>1422501.96</v>
      </c>
      <c r="E47" s="582">
        <f>Лист2!O12</f>
        <v>823672.22000000009</v>
      </c>
      <c r="F47" s="582">
        <f t="shared" si="0"/>
        <v>598829.73999999987</v>
      </c>
    </row>
    <row r="48" spans="1:6">
      <c r="A48" s="45" t="s">
        <v>2492</v>
      </c>
      <c r="B48" s="12">
        <v>250</v>
      </c>
      <c r="C48" s="12">
        <v>230</v>
      </c>
      <c r="D48" s="582"/>
      <c r="E48" s="582"/>
      <c r="F48" s="582">
        <f t="shared" si="0"/>
        <v>0</v>
      </c>
    </row>
    <row r="49" spans="1:6">
      <c r="A49" s="45" t="s">
        <v>2493</v>
      </c>
      <c r="B49" s="12">
        <v>251</v>
      </c>
      <c r="C49" s="12">
        <v>231</v>
      </c>
      <c r="D49" s="582">
        <f>Лист2!O37</f>
        <v>0</v>
      </c>
      <c r="E49" s="582">
        <f>Лист2!O13</f>
        <v>0</v>
      </c>
      <c r="F49" s="582">
        <f t="shared" si="0"/>
        <v>0</v>
      </c>
    </row>
    <row r="50" spans="1:6">
      <c r="A50" s="45" t="s">
        <v>2494</v>
      </c>
      <c r="B50" s="12">
        <v>252</v>
      </c>
      <c r="C50" s="12">
        <v>232</v>
      </c>
      <c r="D50" s="582"/>
      <c r="E50" s="582"/>
      <c r="F50" s="582"/>
    </row>
    <row r="51" spans="1:6">
      <c r="A51" s="586" t="s">
        <v>1293</v>
      </c>
      <c r="B51" s="587">
        <v>260</v>
      </c>
      <c r="C51" s="587">
        <v>240</v>
      </c>
      <c r="D51" s="588" t="e">
        <f>D52+D55</f>
        <v>#REF!</v>
      </c>
      <c r="E51" s="588" t="e">
        <f>E52+E55</f>
        <v>#REF!</v>
      </c>
      <c r="F51" s="588">
        <f>F55</f>
        <v>88506.209999999992</v>
      </c>
    </row>
    <row r="52" spans="1:6" ht="22.5">
      <c r="A52" s="45" t="s">
        <v>1905</v>
      </c>
      <c r="B52" s="12">
        <v>261</v>
      </c>
      <c r="C52" s="12">
        <v>241</v>
      </c>
      <c r="D52" s="582" t="e">
        <f>Лист2!#REF!</f>
        <v>#REF!</v>
      </c>
      <c r="E52" s="582" t="e">
        <f>Лист2!#REF!</f>
        <v>#REF!</v>
      </c>
      <c r="F52" s="582" t="e">
        <f>D52-E52</f>
        <v>#REF!</v>
      </c>
    </row>
    <row r="53" spans="1:6">
      <c r="A53" s="45"/>
      <c r="B53" s="12"/>
      <c r="C53" s="12"/>
      <c r="D53" s="582"/>
      <c r="E53" s="582"/>
      <c r="F53" s="582"/>
    </row>
    <row r="54" spans="1:6" ht="76.5">
      <c r="A54" s="580" t="s">
        <v>2137</v>
      </c>
      <c r="B54" s="580" t="s">
        <v>1348</v>
      </c>
      <c r="C54" s="580" t="s">
        <v>1349</v>
      </c>
      <c r="D54" s="581" t="s">
        <v>695</v>
      </c>
      <c r="E54" s="581" t="s">
        <v>2135</v>
      </c>
      <c r="F54" s="581" t="s">
        <v>2136</v>
      </c>
    </row>
    <row r="55" spans="1:6" ht="22.5">
      <c r="A55" s="45" t="s">
        <v>1305</v>
      </c>
      <c r="B55" s="12">
        <v>262</v>
      </c>
      <c r="C55" s="12">
        <v>242</v>
      </c>
      <c r="D55" s="582">
        <f>Лист2!O39</f>
        <v>88506.209999999992</v>
      </c>
      <c r="E55" s="582">
        <f>Лист2!O14</f>
        <v>0</v>
      </c>
      <c r="F55" s="582">
        <f>D55-E55</f>
        <v>88506.209999999992</v>
      </c>
    </row>
    <row r="56" spans="1:6">
      <c r="A56" s="586" t="s">
        <v>1306</v>
      </c>
      <c r="B56" s="587">
        <v>270</v>
      </c>
      <c r="C56" s="587">
        <v>250</v>
      </c>
      <c r="D56" s="588">
        <f>D57</f>
        <v>945038.1</v>
      </c>
      <c r="E56" s="588">
        <f>E57</f>
        <v>80000</v>
      </c>
      <c r="F56" s="588">
        <f>F57</f>
        <v>865038.1</v>
      </c>
    </row>
    <row r="57" spans="1:6" ht="22.5">
      <c r="A57" s="45" t="s">
        <v>1307</v>
      </c>
      <c r="B57" s="12">
        <v>271</v>
      </c>
      <c r="C57" s="12">
        <v>251</v>
      </c>
      <c r="D57" s="582">
        <f>Лист1!G636+Лист1!H636</f>
        <v>945038.1</v>
      </c>
      <c r="E57" s="582">
        <f>Лист2!O15</f>
        <v>80000</v>
      </c>
      <c r="F57" s="582">
        <f>D57-E57</f>
        <v>865038.1</v>
      </c>
    </row>
    <row r="58" spans="1:6" ht="22.5">
      <c r="A58" s="45" t="s">
        <v>1309</v>
      </c>
      <c r="B58" s="12">
        <v>272</v>
      </c>
      <c r="C58" s="12">
        <v>252</v>
      </c>
      <c r="D58" s="582"/>
      <c r="E58" s="582"/>
      <c r="F58" s="582"/>
    </row>
    <row r="59" spans="1:6">
      <c r="A59" s="45" t="s">
        <v>1310</v>
      </c>
      <c r="B59" s="12">
        <v>273</v>
      </c>
      <c r="C59" s="12">
        <v>253</v>
      </c>
      <c r="D59" s="582"/>
      <c r="E59" s="582"/>
      <c r="F59" s="582"/>
    </row>
    <row r="60" spans="1:6">
      <c r="A60" s="586" t="s">
        <v>1311</v>
      </c>
      <c r="B60" s="587">
        <v>280</v>
      </c>
      <c r="C60" s="587">
        <v>260</v>
      </c>
      <c r="D60" s="588">
        <f>SUM(D61:D63)</f>
        <v>4510834.95</v>
      </c>
      <c r="E60" s="588">
        <f>SUM(E61:E63)</f>
        <v>4369328.79</v>
      </c>
      <c r="F60" s="588">
        <f>SUM(F61:F63)</f>
        <v>141506.15999999997</v>
      </c>
    </row>
    <row r="61" spans="1:6" ht="22.5">
      <c r="A61" s="45" t="s">
        <v>1312</v>
      </c>
      <c r="B61" s="12">
        <v>281</v>
      </c>
      <c r="C61" s="12">
        <v>261</v>
      </c>
      <c r="D61" s="582">
        <f>Лист2!O41</f>
        <v>0</v>
      </c>
      <c r="E61" s="582">
        <f>Лист2!O16</f>
        <v>0</v>
      </c>
      <c r="F61" s="582">
        <f>D61-E61</f>
        <v>0</v>
      </c>
    </row>
    <row r="62" spans="1:6">
      <c r="A62" s="45" t="s">
        <v>1313</v>
      </c>
      <c r="B62" s="12">
        <v>282</v>
      </c>
      <c r="C62" s="12">
        <v>262</v>
      </c>
      <c r="D62" s="582">
        <f>Лист2!O42</f>
        <v>3998727.36</v>
      </c>
      <c r="E62" s="582">
        <f>Лист2!O17</f>
        <v>3998727.36</v>
      </c>
      <c r="F62" s="582">
        <f>D62-E62</f>
        <v>0</v>
      </c>
    </row>
    <row r="63" spans="1:6" ht="22.5">
      <c r="A63" s="45" t="s">
        <v>1314</v>
      </c>
      <c r="B63" s="12">
        <v>283</v>
      </c>
      <c r="C63" s="12">
        <v>263</v>
      </c>
      <c r="D63" s="582">
        <f>Лист2!O43</f>
        <v>512107.58999999997</v>
      </c>
      <c r="E63" s="582">
        <f>Лист2!O18</f>
        <v>370601.43</v>
      </c>
      <c r="F63" s="582">
        <f>D63-E63</f>
        <v>141506.15999999997</v>
      </c>
    </row>
    <row r="64" spans="1:6">
      <c r="A64" s="45" t="s">
        <v>1315</v>
      </c>
      <c r="B64" s="12">
        <v>290</v>
      </c>
      <c r="C64" s="12">
        <v>290</v>
      </c>
      <c r="D64" s="582">
        <f>Лист2!O44</f>
        <v>1655589.21</v>
      </c>
      <c r="E64" s="582">
        <f>Лист2!O19</f>
        <v>288885.79000000004</v>
      </c>
      <c r="F64" s="582">
        <f>D64-E64</f>
        <v>1366703.42</v>
      </c>
    </row>
    <row r="65" spans="1:6">
      <c r="A65" s="593" t="s">
        <v>1316</v>
      </c>
      <c r="B65" s="570">
        <v>310</v>
      </c>
      <c r="C65" s="570"/>
      <c r="D65" s="594">
        <f>D66</f>
        <v>3060003.5100000002</v>
      </c>
      <c r="E65" s="594">
        <f>E66</f>
        <v>2711224.5100000002</v>
      </c>
      <c r="F65" s="594">
        <f>F66</f>
        <v>348779</v>
      </c>
    </row>
    <row r="66" spans="1:6">
      <c r="A66" s="586" t="s">
        <v>1317</v>
      </c>
      <c r="B66" s="587">
        <v>320</v>
      </c>
      <c r="C66" s="587">
        <v>300</v>
      </c>
      <c r="D66" s="588">
        <f>D67+D70</f>
        <v>3060003.5100000002</v>
      </c>
      <c r="E66" s="588">
        <f>E67+E70</f>
        <v>2711224.5100000002</v>
      </c>
      <c r="F66" s="588">
        <f>F67+F70</f>
        <v>348779</v>
      </c>
    </row>
    <row r="67" spans="1:6">
      <c r="A67" s="45" t="s">
        <v>1838</v>
      </c>
      <c r="B67" s="12">
        <v>321</v>
      </c>
      <c r="C67" s="12">
        <v>310</v>
      </c>
      <c r="D67" s="582">
        <f>Лист2!O45</f>
        <v>749354.06</v>
      </c>
      <c r="E67" s="582">
        <f>Лист2!O20</f>
        <v>724726.06</v>
      </c>
      <c r="F67" s="582">
        <f>D67-E67</f>
        <v>24628</v>
      </c>
    </row>
    <row r="68" spans="1:6">
      <c r="A68" s="45" t="s">
        <v>1839</v>
      </c>
      <c r="B68" s="12">
        <v>322</v>
      </c>
      <c r="C68" s="12">
        <v>320</v>
      </c>
      <c r="D68" s="582"/>
      <c r="E68" s="582"/>
      <c r="F68" s="582"/>
    </row>
    <row r="69" spans="1:6">
      <c r="A69" s="45" t="s">
        <v>1840</v>
      </c>
      <c r="B69" s="12">
        <v>323</v>
      </c>
      <c r="C69" s="12">
        <v>330</v>
      </c>
      <c r="D69" s="582"/>
      <c r="E69" s="582"/>
      <c r="F69" s="582"/>
    </row>
    <row r="70" spans="1:6">
      <c r="A70" s="45" t="s">
        <v>1841</v>
      </c>
      <c r="B70" s="12">
        <v>324</v>
      </c>
      <c r="C70" s="12">
        <v>340</v>
      </c>
      <c r="D70" s="582">
        <f>Лист2!O46</f>
        <v>2310649.4500000002</v>
      </c>
      <c r="E70" s="582">
        <f>Лист2!O21</f>
        <v>1986498.4500000002</v>
      </c>
      <c r="F70" s="582">
        <f>D70-E70</f>
        <v>324151</v>
      </c>
    </row>
    <row r="71" spans="1:6" ht="31.5">
      <c r="A71" s="583" t="s">
        <v>1331</v>
      </c>
      <c r="B71" s="584">
        <v>330</v>
      </c>
      <c r="C71" s="584"/>
      <c r="D71" s="585">
        <f>D77</f>
        <v>0</v>
      </c>
      <c r="E71" s="585">
        <f>E77</f>
        <v>0</v>
      </c>
      <c r="F71" s="585">
        <f>F77</f>
        <v>0</v>
      </c>
    </row>
    <row r="72" spans="1:6">
      <c r="A72" s="45" t="s">
        <v>1332</v>
      </c>
      <c r="B72" s="12">
        <v>340</v>
      </c>
      <c r="C72" s="12">
        <v>500</v>
      </c>
      <c r="D72" s="582"/>
      <c r="E72" s="582"/>
      <c r="F72" s="582"/>
    </row>
    <row r="73" spans="1:6" ht="22.5">
      <c r="A73" s="45" t="s">
        <v>1333</v>
      </c>
      <c r="B73" s="12">
        <v>341</v>
      </c>
      <c r="C73" s="12">
        <v>520</v>
      </c>
      <c r="D73" s="582"/>
      <c r="E73" s="582"/>
      <c r="F73" s="582"/>
    </row>
    <row r="74" spans="1:6">
      <c r="A74" s="45" t="s">
        <v>1334</v>
      </c>
      <c r="B74" s="12">
        <v>342</v>
      </c>
      <c r="C74" s="12">
        <v>530</v>
      </c>
      <c r="D74" s="582"/>
      <c r="E74" s="582"/>
      <c r="F74" s="582"/>
    </row>
    <row r="75" spans="1:6">
      <c r="A75" s="45" t="s">
        <v>1335</v>
      </c>
      <c r="B75" s="12">
        <v>343</v>
      </c>
      <c r="C75" s="12">
        <v>540</v>
      </c>
      <c r="D75" s="582"/>
      <c r="E75" s="582"/>
      <c r="F75" s="582"/>
    </row>
    <row r="76" spans="1:6">
      <c r="A76" s="45" t="s">
        <v>1847</v>
      </c>
      <c r="B76" s="12">
        <v>344</v>
      </c>
      <c r="C76" s="12">
        <v>550</v>
      </c>
      <c r="D76" s="582"/>
      <c r="E76" s="582"/>
      <c r="F76" s="582"/>
    </row>
    <row r="77" spans="1:6">
      <c r="A77" s="586" t="s">
        <v>1336</v>
      </c>
      <c r="B77" s="587">
        <v>350</v>
      </c>
      <c r="C77" s="587">
        <v>800</v>
      </c>
      <c r="D77" s="588">
        <f>D78</f>
        <v>0</v>
      </c>
      <c r="E77" s="588">
        <f>E78</f>
        <v>0</v>
      </c>
      <c r="F77" s="588">
        <f>F78</f>
        <v>0</v>
      </c>
    </row>
    <row r="78" spans="1:6">
      <c r="A78" s="45" t="s">
        <v>1337</v>
      </c>
      <c r="B78" s="12">
        <v>351</v>
      </c>
      <c r="C78" s="12">
        <v>810</v>
      </c>
      <c r="D78" s="582">
        <f>E78+F78</f>
        <v>0</v>
      </c>
      <c r="E78" s="582">
        <f>Лист1!G653</f>
        <v>0</v>
      </c>
      <c r="F78" s="582">
        <f>Лист1!H654</f>
        <v>0</v>
      </c>
    </row>
    <row r="79" spans="1:6">
      <c r="A79" s="45" t="s">
        <v>1338</v>
      </c>
      <c r="B79" s="12">
        <v>352</v>
      </c>
      <c r="C79" s="12">
        <v>820</v>
      </c>
      <c r="D79" s="582"/>
      <c r="E79" s="582"/>
      <c r="F79" s="582"/>
    </row>
    <row r="80" spans="1:6" ht="15.75">
      <c r="A80" s="583" t="s">
        <v>1339</v>
      </c>
      <c r="B80" s="584">
        <v>370</v>
      </c>
      <c r="C80" s="584"/>
      <c r="D80" s="585">
        <f>D81</f>
        <v>945038.1</v>
      </c>
      <c r="E80" s="585">
        <f>E81</f>
        <v>80000</v>
      </c>
      <c r="F80" s="585">
        <f>F81</f>
        <v>865038.1</v>
      </c>
    </row>
    <row r="81" spans="1:6" ht="22.5">
      <c r="A81" s="45" t="s">
        <v>1340</v>
      </c>
      <c r="B81" s="12">
        <v>371</v>
      </c>
      <c r="C81" s="12"/>
      <c r="D81" s="582">
        <f>E81+F81</f>
        <v>945038.1</v>
      </c>
      <c r="E81" s="582">
        <f>Лист1!G641</f>
        <v>80000</v>
      </c>
      <c r="F81" s="582">
        <f>Лист1!H641</f>
        <v>865038.1</v>
      </c>
    </row>
    <row r="82" spans="1:6" ht="22.5">
      <c r="A82" s="45" t="s">
        <v>1341</v>
      </c>
      <c r="B82" s="12">
        <v>372</v>
      </c>
      <c r="C82" s="12"/>
      <c r="D82" s="582"/>
      <c r="E82" s="582"/>
      <c r="F82" s="582"/>
    </row>
    <row r="83" spans="1:6" ht="22.5">
      <c r="A83" s="45" t="s">
        <v>1343</v>
      </c>
      <c r="B83" s="12">
        <v>373</v>
      </c>
      <c r="C83" s="12"/>
      <c r="D83" s="582"/>
      <c r="E83" s="582"/>
      <c r="F83" s="582"/>
    </row>
    <row r="84" spans="1:6" ht="33.75">
      <c r="A84" s="45" t="s">
        <v>1344</v>
      </c>
      <c r="B84" s="12">
        <v>374</v>
      </c>
      <c r="C84" s="12"/>
      <c r="D84" s="582"/>
      <c r="E84" s="582"/>
      <c r="F84" s="582"/>
    </row>
    <row r="85" spans="1:6" ht="31.5">
      <c r="A85" s="583" t="s">
        <v>1345</v>
      </c>
      <c r="B85" s="584">
        <v>380</v>
      </c>
      <c r="C85" s="584"/>
      <c r="D85" s="585">
        <f>D86+D87</f>
        <v>-2959982.7500000149</v>
      </c>
      <c r="E85" s="585">
        <f>E86+E87</f>
        <v>-352307.26000000536</v>
      </c>
      <c r="F85" s="585">
        <f>F86+F87</f>
        <v>-2607675.4899999965</v>
      </c>
    </row>
    <row r="86" spans="1:6">
      <c r="A86" s="45" t="s">
        <v>1346</v>
      </c>
      <c r="B86" s="12">
        <v>381</v>
      </c>
      <c r="C86" s="12">
        <v>510</v>
      </c>
      <c r="D86" s="582">
        <f>Лист1!F656+Лист1!F657</f>
        <v>-86326133.76000002</v>
      </c>
      <c r="E86" s="582">
        <f>Лист1!G656</f>
        <v>-72345732.750000015</v>
      </c>
      <c r="F86" s="582">
        <f>Лист1!H657</f>
        <v>-13980401.009999998</v>
      </c>
    </row>
    <row r="87" spans="1:6">
      <c r="A87" s="45" t="s">
        <v>1347</v>
      </c>
      <c r="B87" s="12">
        <v>382</v>
      </c>
      <c r="C87" s="12">
        <v>610</v>
      </c>
      <c r="D87" s="582">
        <f>Лист1!F658+Лист1!F659</f>
        <v>83366151.010000005</v>
      </c>
      <c r="E87" s="582">
        <f>Лист1!G658</f>
        <v>71993425.49000001</v>
      </c>
      <c r="F87" s="582">
        <f>Лист1!H659</f>
        <v>11372725.520000001</v>
      </c>
    </row>
  </sheetData>
  <phoneticPr fontId="0" type="noConversion"/>
  <pageMargins left="0.75" right="0.18" top="1" bottom="0.49"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Лист12">
    <pageSetUpPr fitToPage="1"/>
  </sheetPr>
  <dimension ref="A1:AA48"/>
  <sheetViews>
    <sheetView workbookViewId="0">
      <pane xSplit="7" ySplit="15" topLeftCell="K30" activePane="bottomRight" state="frozen"/>
      <selection pane="topRight" activeCell="H1" sqref="H1"/>
      <selection pane="bottomLeft" activeCell="A16" sqref="A16"/>
      <selection pane="bottomRight" activeCell="T25" sqref="T25"/>
    </sheetView>
  </sheetViews>
  <sheetFormatPr defaultRowHeight="11.25"/>
  <cols>
    <col min="1" max="1" width="24.5" bestFit="1" customWidth="1"/>
    <col min="2" max="2" width="7" bestFit="1" customWidth="1"/>
    <col min="3" max="3" width="17" customWidth="1"/>
    <col min="4" max="4" width="12.1640625" hidden="1" customWidth="1"/>
    <col min="5" max="5" width="15.1640625" hidden="1" customWidth="1"/>
    <col min="6" max="6" width="10.1640625" bestFit="1" customWidth="1"/>
    <col min="7" max="7" width="12.6640625" customWidth="1"/>
    <col min="8" max="8" width="22.83203125" customWidth="1"/>
    <col min="9" max="9" width="11.6640625" bestFit="1" customWidth="1"/>
    <col min="10" max="10" width="13.1640625" customWidth="1"/>
    <col min="11" max="12" width="10.1640625" customWidth="1"/>
    <col min="13" max="15" width="10.1640625" bestFit="1" customWidth="1"/>
    <col min="17" max="17" width="11.83203125" customWidth="1"/>
    <col min="19" max="19" width="12.6640625" customWidth="1"/>
    <col min="21" max="21" width="10.1640625" bestFit="1" customWidth="1"/>
    <col min="22" max="22" width="11.6640625" bestFit="1" customWidth="1"/>
    <col min="23" max="23" width="10.1640625" bestFit="1" customWidth="1"/>
  </cols>
  <sheetData>
    <row r="1" spans="1:27" ht="15">
      <c r="A1" s="601"/>
      <c r="B1" s="2720" t="s">
        <v>868</v>
      </c>
      <c r="C1" s="2720"/>
      <c r="D1" s="2720"/>
      <c r="E1" s="2720"/>
      <c r="F1" s="2720"/>
      <c r="G1" s="2729" t="s">
        <v>854</v>
      </c>
      <c r="H1" s="2729"/>
      <c r="I1" s="2729"/>
      <c r="J1" s="2729"/>
      <c r="K1" s="1132"/>
      <c r="L1" s="1132"/>
      <c r="M1" s="25" t="s">
        <v>855</v>
      </c>
    </row>
    <row r="2" spans="1:27" ht="15">
      <c r="A2" s="653" t="s">
        <v>869</v>
      </c>
      <c r="B2" s="601"/>
      <c r="C2" s="24"/>
      <c r="D2" s="24"/>
      <c r="E2" s="24"/>
      <c r="F2" s="601"/>
      <c r="G2" s="601"/>
      <c r="H2" s="601"/>
    </row>
    <row r="3" spans="1:27" ht="15">
      <c r="A3" s="601"/>
      <c r="B3" s="601"/>
      <c r="C3" s="653" t="s">
        <v>875</v>
      </c>
      <c r="D3" s="601"/>
      <c r="E3" s="601"/>
      <c r="F3" s="601"/>
      <c r="G3" s="601"/>
      <c r="H3" s="601"/>
    </row>
    <row r="4" spans="1:27" ht="12.75">
      <c r="A4" s="21" t="s">
        <v>856</v>
      </c>
      <c r="B4" s="681" t="s">
        <v>772</v>
      </c>
      <c r="C4" s="681"/>
      <c r="D4" s="681"/>
      <c r="E4" s="681"/>
      <c r="F4" s="681"/>
      <c r="G4" s="681"/>
      <c r="H4" s="681"/>
      <c r="I4" s="681"/>
      <c r="J4" s="681"/>
      <c r="K4" s="681"/>
      <c r="L4" s="681"/>
    </row>
    <row r="5" spans="1:27" ht="12.75" customHeight="1">
      <c r="A5" s="2721" t="s">
        <v>876</v>
      </c>
      <c r="B5" s="2721"/>
      <c r="C5" s="2721"/>
      <c r="D5" s="2721"/>
      <c r="E5" s="2721"/>
      <c r="F5" s="2721"/>
      <c r="G5" s="2721"/>
      <c r="H5" s="2721"/>
      <c r="I5" s="2721"/>
      <c r="J5" s="682"/>
      <c r="K5" s="682"/>
      <c r="L5" s="682"/>
    </row>
    <row r="6" spans="1:27">
      <c r="A6" s="2722" t="s">
        <v>877</v>
      </c>
      <c r="B6" s="2722"/>
      <c r="C6" s="2722"/>
      <c r="D6" s="2722"/>
      <c r="E6" s="2722"/>
      <c r="F6" s="2722"/>
      <c r="G6" s="2722"/>
      <c r="H6" s="2722"/>
      <c r="I6" s="683"/>
    </row>
    <row r="7" spans="1:27" ht="12.75">
      <c r="A7" s="601"/>
      <c r="B7" s="601"/>
      <c r="C7" s="601" t="s">
        <v>3456</v>
      </c>
      <c r="D7" s="601"/>
      <c r="E7" s="601"/>
      <c r="F7" s="601"/>
      <c r="G7" s="601"/>
      <c r="H7" s="601"/>
      <c r="I7" s="2602"/>
      <c r="J7" s="2602"/>
      <c r="K7" s="2602"/>
      <c r="L7" s="2602"/>
      <c r="M7" s="2602"/>
      <c r="N7" s="2602"/>
      <c r="O7" s="392"/>
      <c r="P7" s="392"/>
      <c r="Q7" s="2602"/>
      <c r="R7" s="2602"/>
      <c r="S7" s="2602"/>
      <c r="T7" s="2602"/>
      <c r="U7" s="2602"/>
      <c r="V7" s="2602"/>
      <c r="W7" s="2602"/>
    </row>
    <row r="8" spans="1:27">
      <c r="A8" s="2723" t="s">
        <v>74</v>
      </c>
      <c r="B8" s="2723"/>
      <c r="C8" s="2723"/>
      <c r="D8" s="2723"/>
      <c r="E8" s="2688"/>
      <c r="F8" s="224" t="s">
        <v>857</v>
      </c>
      <c r="G8" s="2726" t="s">
        <v>858</v>
      </c>
      <c r="H8" s="654" t="s">
        <v>861</v>
      </c>
      <c r="I8" s="2719" t="s">
        <v>675</v>
      </c>
      <c r="J8" s="2719" t="s">
        <v>865</v>
      </c>
      <c r="K8" s="2730" t="s">
        <v>2323</v>
      </c>
      <c r="L8" s="2730" t="s">
        <v>2017</v>
      </c>
      <c r="M8" s="2719" t="s">
        <v>973</v>
      </c>
      <c r="N8" s="2719" t="s">
        <v>680</v>
      </c>
      <c r="O8" s="2719" t="s">
        <v>681</v>
      </c>
      <c r="P8" s="2719" t="s">
        <v>1630</v>
      </c>
      <c r="Q8" s="2719" t="s">
        <v>678</v>
      </c>
      <c r="R8" s="2719" t="s">
        <v>679</v>
      </c>
      <c r="S8" s="2719" t="s">
        <v>2088</v>
      </c>
      <c r="T8" s="2719" t="s">
        <v>2086</v>
      </c>
      <c r="U8" s="2719" t="s">
        <v>2089</v>
      </c>
      <c r="V8" s="2719" t="s">
        <v>2087</v>
      </c>
      <c r="W8" s="2719" t="s">
        <v>2090</v>
      </c>
      <c r="X8" s="2"/>
      <c r="Y8" s="2"/>
      <c r="Z8" s="2"/>
      <c r="AA8" s="2"/>
    </row>
    <row r="9" spans="1:27">
      <c r="A9" s="2724"/>
      <c r="B9" s="2724"/>
      <c r="C9" s="2724"/>
      <c r="D9" s="2724"/>
      <c r="E9" s="2689"/>
      <c r="F9" s="228" t="s">
        <v>862</v>
      </c>
      <c r="G9" s="2727"/>
      <c r="H9" s="227" t="s">
        <v>878</v>
      </c>
      <c r="I9" s="2719"/>
      <c r="J9" s="2719"/>
      <c r="K9" s="2731"/>
      <c r="L9" s="2731"/>
      <c r="M9" s="2719"/>
      <c r="N9" s="2719"/>
      <c r="O9" s="2719"/>
      <c r="P9" s="2719"/>
      <c r="Q9" s="2719"/>
      <c r="R9" s="2719"/>
      <c r="S9" s="2719"/>
      <c r="T9" s="2719"/>
      <c r="U9" s="2719"/>
      <c r="V9" s="2719"/>
      <c r="W9" s="2719"/>
      <c r="X9" s="2"/>
      <c r="Y9" s="2"/>
      <c r="Z9" s="2"/>
      <c r="AA9" s="2"/>
    </row>
    <row r="10" spans="1:27">
      <c r="A10" s="2725"/>
      <c r="B10" s="2725"/>
      <c r="C10" s="2725"/>
      <c r="D10" s="2725"/>
      <c r="E10" s="2690"/>
      <c r="F10" s="655"/>
      <c r="G10" s="2728"/>
      <c r="H10" s="656"/>
      <c r="I10" s="2719"/>
      <c r="J10" s="2719"/>
      <c r="K10" s="2732"/>
      <c r="L10" s="2732"/>
      <c r="M10" s="2719"/>
      <c r="N10" s="2719"/>
      <c r="O10" s="2719"/>
      <c r="P10" s="2719"/>
      <c r="Q10" s="2719"/>
      <c r="R10" s="2719"/>
      <c r="S10" s="2719"/>
      <c r="T10" s="2719"/>
      <c r="U10" s="2719"/>
      <c r="V10" s="2719"/>
      <c r="W10" s="2719"/>
      <c r="X10" s="2"/>
      <c r="Y10" s="2"/>
      <c r="Z10" s="2"/>
      <c r="AA10" s="2"/>
    </row>
    <row r="11" spans="1:27" ht="12" thickBot="1">
      <c r="A11" s="2687">
        <v>1</v>
      </c>
      <c r="B11" s="2687"/>
      <c r="C11" s="2687"/>
      <c r="D11" s="2687"/>
      <c r="E11" s="2683"/>
      <c r="F11" s="224">
        <v>2</v>
      </c>
      <c r="G11" s="654">
        <v>3</v>
      </c>
      <c r="H11" s="652">
        <v>4</v>
      </c>
      <c r="I11" s="8"/>
      <c r="J11" s="8"/>
      <c r="K11" s="8"/>
      <c r="L11" s="8"/>
      <c r="M11" s="8"/>
      <c r="N11" s="8"/>
      <c r="O11" s="8"/>
      <c r="P11" s="8"/>
      <c r="Q11" s="8"/>
      <c r="R11" s="8"/>
      <c r="S11" s="8"/>
      <c r="T11" s="8"/>
      <c r="U11" s="8"/>
      <c r="V11" s="8"/>
      <c r="W11" s="8"/>
    </row>
    <row r="12" spans="1:27" ht="12">
      <c r="A12" s="2736" t="s">
        <v>879</v>
      </c>
      <c r="B12" s="2736"/>
      <c r="C12" s="2736"/>
      <c r="D12" s="2736"/>
      <c r="E12" s="2737"/>
      <c r="F12" s="657" t="s">
        <v>57</v>
      </c>
      <c r="G12" s="685">
        <f>SUM(I12:W12)</f>
        <v>0</v>
      </c>
      <c r="H12" s="658"/>
      <c r="I12" s="8"/>
      <c r="J12" s="8"/>
      <c r="K12" s="8"/>
      <c r="L12" s="8"/>
      <c r="M12" s="8"/>
      <c r="N12" s="8"/>
      <c r="O12" s="8"/>
      <c r="P12" s="8"/>
      <c r="Q12" s="8"/>
      <c r="R12" s="8"/>
      <c r="S12" s="8"/>
      <c r="T12" s="8"/>
      <c r="U12" s="8"/>
      <c r="V12" s="8"/>
      <c r="W12" s="8"/>
    </row>
    <row r="13" spans="1:27" ht="12">
      <c r="A13" s="2738" t="s">
        <v>880</v>
      </c>
      <c r="B13" s="2738"/>
      <c r="C13" s="2738"/>
      <c r="D13" s="2738"/>
      <c r="E13" s="2739"/>
      <c r="F13" s="232"/>
      <c r="G13" s="686"/>
      <c r="H13" s="659"/>
      <c r="I13" s="8"/>
      <c r="J13" s="8"/>
      <c r="K13" s="8"/>
      <c r="L13" s="8"/>
      <c r="M13" s="8"/>
      <c r="N13" s="8"/>
      <c r="O13" s="8"/>
      <c r="P13" s="8"/>
      <c r="Q13" s="8"/>
      <c r="R13" s="8"/>
      <c r="S13" s="8"/>
      <c r="T13" s="8"/>
      <c r="U13" s="8"/>
      <c r="V13" s="8"/>
      <c r="W13" s="8"/>
    </row>
    <row r="14" spans="1:27" ht="12">
      <c r="A14" s="2746" t="s">
        <v>881</v>
      </c>
      <c r="B14" s="2746"/>
      <c r="C14" s="2746"/>
      <c r="D14" s="2746"/>
      <c r="E14" s="2748"/>
      <c r="F14" s="660" t="s">
        <v>863</v>
      </c>
      <c r="G14" s="685">
        <f>SUM(I14:W14)</f>
        <v>0</v>
      </c>
      <c r="H14" s="661"/>
      <c r="I14" s="8"/>
      <c r="J14" s="8"/>
      <c r="K14" s="8"/>
      <c r="L14" s="8"/>
      <c r="M14" s="8"/>
      <c r="N14" s="8"/>
      <c r="O14" s="8"/>
      <c r="P14" s="8"/>
      <c r="Q14" s="8"/>
      <c r="R14" s="8"/>
      <c r="S14" s="8"/>
      <c r="T14" s="8"/>
      <c r="U14" s="8"/>
      <c r="V14" s="8"/>
      <c r="W14" s="8"/>
    </row>
    <row r="15" spans="1:27" ht="12">
      <c r="A15" s="2738" t="s">
        <v>882</v>
      </c>
      <c r="B15" s="2738"/>
      <c r="C15" s="2738"/>
      <c r="D15" s="2738"/>
      <c r="E15" s="2739"/>
      <c r="F15" s="662" t="s">
        <v>58</v>
      </c>
      <c r="G15" s="685">
        <f>SUM(I15:W15)</f>
        <v>0</v>
      </c>
      <c r="H15" s="663"/>
      <c r="I15" s="8"/>
      <c r="J15" s="8"/>
      <c r="K15" s="8"/>
      <c r="L15" s="8"/>
      <c r="M15" s="8"/>
      <c r="N15" s="8"/>
      <c r="O15" s="8"/>
      <c r="P15" s="8"/>
      <c r="Q15" s="8"/>
      <c r="R15" s="8"/>
      <c r="S15" s="8"/>
      <c r="T15" s="8"/>
      <c r="U15" s="8"/>
      <c r="V15" s="8"/>
      <c r="W15" s="8"/>
    </row>
    <row r="16" spans="1:27" ht="12">
      <c r="A16" s="2738" t="s">
        <v>883</v>
      </c>
      <c r="B16" s="2738"/>
      <c r="C16" s="2738"/>
      <c r="D16" s="2738"/>
      <c r="E16" s="2739"/>
      <c r="F16" s="231" t="s">
        <v>59</v>
      </c>
      <c r="G16" s="685">
        <f>SUM(I16:W16)</f>
        <v>0</v>
      </c>
      <c r="H16" s="663"/>
      <c r="I16" s="8"/>
      <c r="J16" s="8"/>
      <c r="K16" s="8"/>
      <c r="L16" s="8"/>
      <c r="M16" s="8"/>
      <c r="N16" s="8"/>
      <c r="O16" s="8"/>
      <c r="P16" s="8"/>
      <c r="Q16" s="8"/>
      <c r="R16" s="8"/>
      <c r="S16" s="8"/>
      <c r="T16" s="8"/>
      <c r="U16" s="8"/>
      <c r="V16" s="8"/>
      <c r="W16" s="8"/>
    </row>
    <row r="17" spans="1:23" ht="12">
      <c r="A17" s="2736" t="s">
        <v>884</v>
      </c>
      <c r="B17" s="2736"/>
      <c r="C17" s="2736"/>
      <c r="D17" s="2736"/>
      <c r="E17" s="2737"/>
      <c r="F17" s="664" t="s">
        <v>885</v>
      </c>
      <c r="G17" s="685">
        <f>SUM(I17:W17)</f>
        <v>0</v>
      </c>
      <c r="H17" s="663"/>
      <c r="I17" s="8"/>
      <c r="J17" s="8"/>
      <c r="K17" s="8"/>
      <c r="L17" s="8"/>
      <c r="M17" s="8"/>
      <c r="N17" s="8"/>
      <c r="O17" s="8"/>
      <c r="P17" s="8"/>
      <c r="Q17" s="8"/>
      <c r="R17" s="8"/>
      <c r="S17" s="8"/>
      <c r="T17" s="8"/>
      <c r="U17" s="8"/>
      <c r="V17" s="8"/>
      <c r="W17" s="8"/>
    </row>
    <row r="18" spans="1:23" ht="12">
      <c r="A18" s="2738" t="s">
        <v>880</v>
      </c>
      <c r="B18" s="2738"/>
      <c r="C18" s="2738"/>
      <c r="D18" s="2738"/>
      <c r="E18" s="2739"/>
      <c r="F18" s="687"/>
      <c r="G18" s="689"/>
      <c r="H18" s="659"/>
      <c r="I18" s="8"/>
      <c r="J18" s="8"/>
      <c r="K18" s="8"/>
      <c r="L18" s="8"/>
      <c r="M18" s="8"/>
      <c r="N18" s="8"/>
      <c r="O18" s="8"/>
      <c r="P18" s="8"/>
      <c r="Q18" s="8"/>
      <c r="R18" s="8"/>
      <c r="S18" s="8"/>
      <c r="T18" s="8"/>
      <c r="U18" s="8"/>
      <c r="V18" s="8"/>
      <c r="W18" s="8"/>
    </row>
    <row r="19" spans="1:23" ht="12">
      <c r="A19" s="2746" t="s">
        <v>886</v>
      </c>
      <c r="B19" s="2746"/>
      <c r="C19" s="2746"/>
      <c r="D19" s="2746"/>
      <c r="E19" s="2748"/>
      <c r="F19" s="660" t="s">
        <v>887</v>
      </c>
      <c r="G19" s="688">
        <f>SUM(I19:W19)</f>
        <v>0</v>
      </c>
      <c r="H19" s="661"/>
      <c r="I19" s="8"/>
      <c r="J19" s="8"/>
      <c r="K19" s="8"/>
      <c r="L19" s="8"/>
      <c r="M19" s="8"/>
      <c r="N19" s="8"/>
      <c r="O19" s="8"/>
      <c r="P19" s="8"/>
      <c r="Q19" s="8"/>
      <c r="R19" s="8"/>
      <c r="S19" s="8"/>
      <c r="T19" s="8"/>
      <c r="U19" s="8"/>
      <c r="V19" s="8"/>
      <c r="W19" s="8"/>
    </row>
    <row r="20" spans="1:23" ht="12">
      <c r="A20" s="2733" t="s">
        <v>888</v>
      </c>
      <c r="B20" s="2733"/>
      <c r="C20" s="2733"/>
      <c r="D20" s="2733"/>
      <c r="E20" s="2750"/>
      <c r="F20" s="231" t="s">
        <v>889</v>
      </c>
      <c r="G20" s="685">
        <f>SUM(I20:W20)</f>
        <v>0</v>
      </c>
      <c r="H20" s="663"/>
      <c r="I20" s="8"/>
      <c r="J20" s="8"/>
      <c r="K20" s="8"/>
      <c r="L20" s="8"/>
      <c r="M20" s="8"/>
      <c r="N20" s="8"/>
      <c r="O20" s="8"/>
      <c r="P20" s="8"/>
      <c r="Q20" s="8"/>
      <c r="R20" s="8"/>
      <c r="S20" s="8"/>
      <c r="T20" s="8"/>
      <c r="U20" s="8"/>
      <c r="V20" s="8"/>
      <c r="W20" s="8"/>
    </row>
    <row r="21" spans="1:23" ht="12">
      <c r="A21" s="2736" t="s">
        <v>890</v>
      </c>
      <c r="B21" s="2736"/>
      <c r="C21" s="2736"/>
      <c r="D21" s="2736"/>
      <c r="E21" s="2737"/>
      <c r="F21" s="665" t="s">
        <v>891</v>
      </c>
      <c r="G21" s="685">
        <f>SUM(I21:W21)</f>
        <v>0</v>
      </c>
      <c r="H21" s="666"/>
      <c r="I21" s="8"/>
      <c r="J21" s="8"/>
      <c r="K21" s="8"/>
      <c r="L21" s="8"/>
      <c r="M21" s="8"/>
      <c r="N21" s="8"/>
      <c r="O21" s="8"/>
      <c r="P21" s="8"/>
      <c r="Q21" s="8"/>
      <c r="R21" s="8"/>
      <c r="S21" s="8"/>
      <c r="T21" s="8"/>
      <c r="U21" s="8"/>
      <c r="V21" s="8"/>
      <c r="W21" s="8"/>
    </row>
    <row r="22" spans="1:23" ht="12">
      <c r="A22" s="2738" t="s">
        <v>880</v>
      </c>
      <c r="B22" s="2738"/>
      <c r="C22" s="2738"/>
      <c r="D22" s="2738"/>
      <c r="E22" s="2739"/>
      <c r="F22" s="667"/>
      <c r="G22" s="686"/>
      <c r="H22" s="659"/>
      <c r="I22" s="8"/>
      <c r="J22" s="8"/>
      <c r="K22" s="8"/>
      <c r="L22" s="8"/>
      <c r="M22" s="8"/>
      <c r="N22" s="8"/>
      <c r="O22" s="8"/>
      <c r="P22" s="8"/>
      <c r="Q22" s="8"/>
      <c r="R22" s="8"/>
      <c r="S22" s="8"/>
      <c r="T22" s="8"/>
      <c r="U22" s="8"/>
      <c r="V22" s="8"/>
      <c r="W22" s="8"/>
    </row>
    <row r="23" spans="1:23" ht="12">
      <c r="A23" s="2746" t="s">
        <v>892</v>
      </c>
      <c r="B23" s="2746"/>
      <c r="C23" s="2746"/>
      <c r="D23" s="2746"/>
      <c r="E23" s="2748"/>
      <c r="F23" s="668" t="s">
        <v>893</v>
      </c>
      <c r="G23" s="685">
        <f>SUM(I23:W23)</f>
        <v>0</v>
      </c>
      <c r="H23" s="666"/>
      <c r="I23" s="8"/>
      <c r="J23" s="8"/>
      <c r="K23" s="8"/>
      <c r="L23" s="8"/>
      <c r="M23" s="8"/>
      <c r="N23" s="8"/>
      <c r="O23" s="8"/>
      <c r="P23" s="8"/>
      <c r="Q23" s="8"/>
      <c r="R23" s="8"/>
      <c r="S23" s="8"/>
      <c r="T23" s="8"/>
      <c r="U23" s="8"/>
      <c r="V23" s="8"/>
      <c r="W23" s="8"/>
    </row>
    <row r="24" spans="1:23" ht="12">
      <c r="A24" s="2738" t="s">
        <v>894</v>
      </c>
      <c r="B24" s="2738"/>
      <c r="C24" s="2738"/>
      <c r="D24" s="2738"/>
      <c r="E24" s="2739"/>
      <c r="F24" s="231" t="s">
        <v>895</v>
      </c>
      <c r="G24" s="685">
        <f>SUM(I24:W24)</f>
        <v>0</v>
      </c>
      <c r="H24" s="663"/>
      <c r="I24" s="8"/>
      <c r="J24" s="8"/>
      <c r="K24" s="8"/>
      <c r="L24" s="8"/>
      <c r="M24" s="8"/>
      <c r="N24" s="8"/>
      <c r="O24" s="8"/>
      <c r="P24" s="8"/>
      <c r="Q24" s="8"/>
      <c r="R24" s="8"/>
      <c r="S24" s="8"/>
      <c r="T24" s="8"/>
      <c r="U24" s="8"/>
      <c r="V24" s="8"/>
      <c r="W24" s="8"/>
    </row>
    <row r="25" spans="1:23" ht="47.25" customHeight="1">
      <c r="A25" s="2736" t="s">
        <v>896</v>
      </c>
      <c r="B25" s="2736"/>
      <c r="C25" s="2736"/>
      <c r="D25" s="2736"/>
      <c r="E25" s="2737"/>
      <c r="F25" s="664" t="s">
        <v>897</v>
      </c>
      <c r="G25" s="685">
        <f>G27+G29</f>
        <v>42580</v>
      </c>
      <c r="H25" s="663" t="s">
        <v>946</v>
      </c>
      <c r="I25" s="8">
        <v>18080</v>
      </c>
      <c r="J25" s="8"/>
      <c r="K25" s="8"/>
      <c r="L25" s="8">
        <v>24500</v>
      </c>
      <c r="M25" s="8"/>
      <c r="N25" s="8"/>
      <c r="O25" s="8"/>
      <c r="P25" s="8"/>
      <c r="Q25" s="8"/>
      <c r="R25" s="8"/>
      <c r="S25" s="8"/>
      <c r="T25" s="8"/>
      <c r="U25" s="8"/>
      <c r="V25" s="8"/>
      <c r="W25" s="8"/>
    </row>
    <row r="26" spans="1:23" ht="12.75">
      <c r="A26" s="2738" t="s">
        <v>880</v>
      </c>
      <c r="B26" s="2740"/>
      <c r="C26" s="2740"/>
      <c r="D26" s="2740"/>
      <c r="E26" s="2741"/>
      <c r="F26" s="232"/>
      <c r="G26" s="686"/>
      <c r="H26" s="659"/>
      <c r="I26" s="8"/>
      <c r="J26" s="8"/>
      <c r="K26" s="8"/>
      <c r="L26" s="8"/>
      <c r="M26" s="8"/>
      <c r="N26" s="8"/>
      <c r="O26" s="8"/>
      <c r="P26" s="8"/>
      <c r="Q26" s="8"/>
      <c r="R26" s="8"/>
      <c r="S26" s="8"/>
      <c r="T26" s="8"/>
      <c r="U26" s="8"/>
      <c r="V26" s="8"/>
      <c r="W26" s="8"/>
    </row>
    <row r="27" spans="1:23" ht="33.75" customHeight="1">
      <c r="A27" s="2746" t="s">
        <v>936</v>
      </c>
      <c r="B27" s="2747"/>
      <c r="C27" s="2747"/>
      <c r="D27" s="2747"/>
      <c r="E27" s="2749"/>
      <c r="F27" s="660" t="s">
        <v>937</v>
      </c>
      <c r="G27" s="685">
        <f>SUM(I27:W27)</f>
        <v>42580</v>
      </c>
      <c r="H27" s="663" t="s">
        <v>946</v>
      </c>
      <c r="I27" s="8">
        <v>18080</v>
      </c>
      <c r="J27" s="8"/>
      <c r="K27" s="8"/>
      <c r="L27" s="8">
        <v>24500</v>
      </c>
      <c r="M27" s="8"/>
      <c r="N27" s="8"/>
      <c r="O27" s="8"/>
      <c r="P27" s="8"/>
      <c r="Q27" s="8"/>
      <c r="R27" s="8"/>
      <c r="S27" s="8"/>
      <c r="T27" s="8"/>
      <c r="U27" s="8"/>
      <c r="V27" s="8"/>
      <c r="W27" s="8"/>
    </row>
    <row r="28" spans="1:23" ht="30.75" customHeight="1">
      <c r="A28" s="2733" t="s">
        <v>938</v>
      </c>
      <c r="B28" s="2734"/>
      <c r="C28" s="2734"/>
      <c r="D28" s="2734"/>
      <c r="E28" s="2734"/>
      <c r="F28" s="231" t="s">
        <v>939</v>
      </c>
      <c r="G28" s="685">
        <f>SUM(I28:W28)</f>
        <v>0</v>
      </c>
      <c r="H28" s="661"/>
      <c r="I28" s="8"/>
      <c r="J28" s="8"/>
      <c r="K28" s="8"/>
      <c r="L28" s="8"/>
      <c r="M28" s="8"/>
      <c r="N28" s="8"/>
      <c r="O28" s="8"/>
      <c r="P28" s="8"/>
      <c r="Q28" s="8"/>
      <c r="R28" s="8"/>
      <c r="S28" s="8"/>
      <c r="T28" s="8"/>
      <c r="U28" s="8"/>
      <c r="V28" s="8"/>
      <c r="W28" s="8"/>
    </row>
    <row r="29" spans="1:23" ht="34.5" customHeight="1">
      <c r="A29" s="2733" t="s">
        <v>940</v>
      </c>
      <c r="B29" s="2734"/>
      <c r="C29" s="2734"/>
      <c r="D29" s="2734"/>
      <c r="E29" s="2735"/>
      <c r="F29" s="662" t="s">
        <v>941</v>
      </c>
      <c r="G29" s="685">
        <f>SUM(I29:W29)</f>
        <v>0</v>
      </c>
      <c r="H29" s="663"/>
      <c r="I29" s="8"/>
      <c r="J29" s="8"/>
      <c r="K29" s="8"/>
      <c r="L29" s="8"/>
      <c r="M29" s="8"/>
      <c r="N29" s="8"/>
      <c r="O29" s="8"/>
      <c r="P29" s="8"/>
      <c r="Q29" s="8"/>
      <c r="R29" s="8"/>
      <c r="S29" s="8"/>
      <c r="T29" s="8"/>
      <c r="U29" s="8"/>
      <c r="V29" s="8"/>
      <c r="W29" s="8"/>
    </row>
    <row r="30" spans="1:23" ht="12">
      <c r="A30" s="2733" t="s">
        <v>942</v>
      </c>
      <c r="B30" s="2733"/>
      <c r="C30" s="2733"/>
      <c r="D30" s="2733"/>
      <c r="E30" s="2750"/>
      <c r="F30" s="669" t="s">
        <v>943</v>
      </c>
      <c r="G30" s="686"/>
      <c r="H30" s="663"/>
      <c r="I30" s="8"/>
      <c r="J30" s="8"/>
      <c r="K30" s="8"/>
      <c r="L30" s="8"/>
      <c r="M30" s="8"/>
      <c r="N30" s="8"/>
      <c r="O30" s="8"/>
      <c r="P30" s="8"/>
      <c r="Q30" s="8"/>
      <c r="R30" s="8"/>
      <c r="S30" s="8"/>
      <c r="T30" s="8"/>
      <c r="U30" s="8"/>
      <c r="V30" s="8"/>
      <c r="W30" s="8"/>
    </row>
    <row r="31" spans="1:23" ht="24">
      <c r="A31" s="2736" t="s">
        <v>944</v>
      </c>
      <c r="B31" s="2736"/>
      <c r="C31" s="2736"/>
      <c r="D31" s="2736"/>
      <c r="E31" s="2737"/>
      <c r="F31" s="664" t="s">
        <v>945</v>
      </c>
      <c r="G31" s="685">
        <f>SUM(I31:W31)</f>
        <v>163066.1</v>
      </c>
      <c r="H31" s="663" t="s">
        <v>946</v>
      </c>
      <c r="I31" s="8">
        <v>134333.84</v>
      </c>
      <c r="J31" s="8"/>
      <c r="K31" s="8">
        <v>28732.26</v>
      </c>
      <c r="L31" s="8"/>
      <c r="M31" s="8"/>
      <c r="N31" s="8"/>
      <c r="O31" s="8"/>
      <c r="P31" s="8"/>
      <c r="Q31" s="8"/>
      <c r="R31" s="8"/>
      <c r="S31" s="8"/>
      <c r="T31" s="8"/>
      <c r="U31" s="8"/>
      <c r="V31" s="8"/>
      <c r="W31" s="8"/>
    </row>
    <row r="32" spans="1:23" ht="12">
      <c r="A32" s="2736" t="s">
        <v>947</v>
      </c>
      <c r="B32" s="2736"/>
      <c r="C32" s="2736"/>
      <c r="D32" s="2736"/>
      <c r="E32" s="2736"/>
      <c r="F32" s="664" t="s">
        <v>948</v>
      </c>
      <c r="G32" s="685">
        <f>SUM(I32:W32)</f>
        <v>0</v>
      </c>
      <c r="H32" s="661"/>
      <c r="I32" s="8"/>
      <c r="J32" s="8"/>
      <c r="K32" s="8"/>
      <c r="L32" s="8"/>
      <c r="M32" s="8"/>
      <c r="N32" s="8"/>
      <c r="O32" s="8"/>
      <c r="P32" s="8"/>
      <c r="Q32" s="8"/>
      <c r="R32" s="8"/>
      <c r="S32" s="8"/>
      <c r="T32" s="8"/>
      <c r="U32" s="8"/>
      <c r="V32" s="8"/>
      <c r="W32" s="8"/>
    </row>
    <row r="33" spans="1:23" ht="24">
      <c r="A33" s="2736" t="s">
        <v>949</v>
      </c>
      <c r="B33" s="2736"/>
      <c r="C33" s="2736"/>
      <c r="D33" s="2736"/>
      <c r="E33" s="2737"/>
      <c r="F33" s="664" t="s">
        <v>950</v>
      </c>
      <c r="G33" s="685">
        <f>G35+G36+G37</f>
        <v>784443.08000000007</v>
      </c>
      <c r="H33" s="663" t="s">
        <v>946</v>
      </c>
      <c r="I33" s="685">
        <f>I35+I36+I37</f>
        <v>182622.93</v>
      </c>
      <c r="J33" s="685">
        <f>J35+J36+J37</f>
        <v>127699.23000000001</v>
      </c>
      <c r="K33" s="685">
        <f>K35+K36+K37</f>
        <v>9064.880000000001</v>
      </c>
      <c r="L33" s="685">
        <f>L35+L36+L37</f>
        <v>17767.89</v>
      </c>
      <c r="M33" s="685">
        <v>11492.37</v>
      </c>
      <c r="N33" s="685">
        <f>N35+N36+N37</f>
        <v>49341.55</v>
      </c>
      <c r="O33" s="685"/>
      <c r="P33" s="685"/>
      <c r="Q33" s="685">
        <f t="shared" ref="Q33:W33" si="0">Q35+Q36+Q37</f>
        <v>161622.93</v>
      </c>
      <c r="R33" s="685">
        <f t="shared" si="0"/>
        <v>10235.14</v>
      </c>
      <c r="S33" s="685">
        <f t="shared" si="0"/>
        <v>42696.94</v>
      </c>
      <c r="T33" s="685">
        <f t="shared" si="0"/>
        <v>16550</v>
      </c>
      <c r="U33" s="685">
        <f t="shared" si="0"/>
        <v>19260</v>
      </c>
      <c r="V33" s="685">
        <f t="shared" si="0"/>
        <v>78510.600000000006</v>
      </c>
      <c r="W33" s="685">
        <f t="shared" si="0"/>
        <v>57578.62</v>
      </c>
    </row>
    <row r="34" spans="1:23" ht="12.75">
      <c r="A34" s="2738" t="s">
        <v>880</v>
      </c>
      <c r="B34" s="2740"/>
      <c r="C34" s="2740"/>
      <c r="D34" s="2740"/>
      <c r="E34" s="2741"/>
      <c r="F34" s="232"/>
      <c r="G34" s="686"/>
      <c r="H34" s="659"/>
      <c r="I34" s="8"/>
      <c r="J34" s="8"/>
      <c r="K34" s="8"/>
      <c r="L34" s="8"/>
      <c r="M34" s="8"/>
      <c r="N34" s="8"/>
      <c r="O34" s="8"/>
      <c r="P34" s="8"/>
      <c r="Q34" s="8"/>
      <c r="R34" s="8"/>
      <c r="S34" s="8"/>
      <c r="T34" s="8"/>
      <c r="U34" s="8"/>
      <c r="V34" s="8"/>
      <c r="W34" s="8"/>
    </row>
    <row r="35" spans="1:23" ht="24">
      <c r="A35" s="2746" t="s">
        <v>951</v>
      </c>
      <c r="B35" s="2747"/>
      <c r="C35" s="2747"/>
      <c r="D35" s="2747"/>
      <c r="E35" s="2749"/>
      <c r="F35" s="660" t="s">
        <v>952</v>
      </c>
      <c r="G35" s="685">
        <f t="shared" ref="G35:G42" si="1">SUM(I35:W35)</f>
        <v>268964.99000000005</v>
      </c>
      <c r="H35" s="684" t="s">
        <v>946</v>
      </c>
      <c r="I35" s="8">
        <v>78132.86</v>
      </c>
      <c r="J35" s="8">
        <v>200</v>
      </c>
      <c r="K35" s="8">
        <v>3200</v>
      </c>
      <c r="L35" s="8">
        <v>2158.3000000000002</v>
      </c>
      <c r="M35" s="8">
        <v>6074.64</v>
      </c>
      <c r="N35" s="8">
        <v>11101.08</v>
      </c>
      <c r="O35" s="8"/>
      <c r="P35" s="8"/>
      <c r="Q35" s="8">
        <v>29748.02</v>
      </c>
      <c r="R35" s="8">
        <v>3660.45</v>
      </c>
      <c r="S35" s="8">
        <v>26560.42</v>
      </c>
      <c r="T35" s="8">
        <v>4200</v>
      </c>
      <c r="U35" s="8"/>
      <c r="V35" s="8">
        <v>61550.6</v>
      </c>
      <c r="W35" s="8">
        <v>42378.62</v>
      </c>
    </row>
    <row r="36" spans="1:23" ht="24">
      <c r="A36" s="2733" t="s">
        <v>953</v>
      </c>
      <c r="B36" s="2742"/>
      <c r="C36" s="2742"/>
      <c r="D36" s="2742"/>
      <c r="E36" s="2743"/>
      <c r="F36" s="231" t="s">
        <v>954</v>
      </c>
      <c r="G36" s="685">
        <f t="shared" si="1"/>
        <v>81914.179999999993</v>
      </c>
      <c r="H36" s="663" t="s">
        <v>946</v>
      </c>
      <c r="I36" s="8"/>
      <c r="J36" s="8">
        <v>46784.18</v>
      </c>
      <c r="K36" s="8"/>
      <c r="L36" s="8"/>
      <c r="M36" s="8"/>
      <c r="N36" s="8"/>
      <c r="O36" s="8"/>
      <c r="P36" s="8"/>
      <c r="Q36" s="8"/>
      <c r="R36" s="8"/>
      <c r="S36" s="8"/>
      <c r="T36" s="8">
        <v>12350</v>
      </c>
      <c r="U36" s="8">
        <v>12060</v>
      </c>
      <c r="V36" s="8">
        <v>5360</v>
      </c>
      <c r="W36" s="8">
        <v>5360</v>
      </c>
    </row>
    <row r="37" spans="1:23" ht="24.75" thickBot="1">
      <c r="A37" s="2733" t="s">
        <v>955</v>
      </c>
      <c r="B37" s="2734"/>
      <c r="C37" s="2734"/>
      <c r="D37" s="2734"/>
      <c r="E37" s="2735"/>
      <c r="F37" s="253" t="s">
        <v>956</v>
      </c>
      <c r="G37" s="685">
        <f t="shared" si="1"/>
        <v>433563.91000000003</v>
      </c>
      <c r="H37" s="663" t="s">
        <v>946</v>
      </c>
      <c r="I37" s="8">
        <v>104490.07</v>
      </c>
      <c r="J37" s="8">
        <v>80715.05</v>
      </c>
      <c r="K37" s="8">
        <v>5864.88</v>
      </c>
      <c r="L37" s="8">
        <v>15609.59</v>
      </c>
      <c r="M37" s="8">
        <v>5417.73</v>
      </c>
      <c r="N37" s="8">
        <v>38240.47</v>
      </c>
      <c r="O37" s="8"/>
      <c r="P37" s="8"/>
      <c r="Q37" s="8">
        <v>131874.91</v>
      </c>
      <c r="R37" s="8">
        <v>6574.69</v>
      </c>
      <c r="S37" s="8">
        <v>16136.52</v>
      </c>
      <c r="T37" s="8"/>
      <c r="U37" s="8">
        <v>7200</v>
      </c>
      <c r="V37" s="8">
        <v>11600</v>
      </c>
      <c r="W37" s="8">
        <v>9840</v>
      </c>
    </row>
    <row r="38" spans="1:23" ht="39.75" customHeight="1">
      <c r="A38" s="2736" t="s">
        <v>957</v>
      </c>
      <c r="B38" s="2736"/>
      <c r="C38" s="2736"/>
      <c r="D38" s="2736"/>
      <c r="E38" s="2737"/>
      <c r="F38" s="670" t="s">
        <v>958</v>
      </c>
      <c r="G38" s="685">
        <f t="shared" si="1"/>
        <v>213364</v>
      </c>
      <c r="H38" s="671"/>
      <c r="I38" s="8"/>
      <c r="J38" s="8">
        <v>169000</v>
      </c>
      <c r="K38" s="8"/>
      <c r="L38" s="8"/>
      <c r="M38" s="8">
        <v>29664</v>
      </c>
      <c r="N38" s="8"/>
      <c r="O38" s="8"/>
      <c r="P38" s="8"/>
      <c r="Q38" s="8"/>
      <c r="R38" s="8"/>
      <c r="S38" s="8">
        <f>S40+S41</f>
        <v>0</v>
      </c>
      <c r="T38" s="8"/>
      <c r="U38" s="8">
        <f>U40+U41</f>
        <v>6000</v>
      </c>
      <c r="V38" s="8">
        <v>5700</v>
      </c>
      <c r="W38" s="8">
        <f>W39+W40+W41</f>
        <v>3000</v>
      </c>
    </row>
    <row r="39" spans="1:23" ht="12.75">
      <c r="A39" s="2738" t="s">
        <v>880</v>
      </c>
      <c r="B39" s="2740"/>
      <c r="C39" s="2740"/>
      <c r="D39" s="2740"/>
      <c r="E39" s="2741"/>
      <c r="F39" s="232"/>
      <c r="G39" s="685"/>
      <c r="H39" s="1121"/>
      <c r="I39" s="8"/>
      <c r="J39" s="8"/>
      <c r="K39" s="8"/>
      <c r="L39" s="8"/>
      <c r="M39" s="8"/>
      <c r="N39" s="8"/>
      <c r="O39" s="8"/>
      <c r="P39" s="8"/>
      <c r="Q39" s="8"/>
      <c r="R39" s="8"/>
      <c r="S39" s="8"/>
      <c r="T39" s="8"/>
      <c r="U39" s="8"/>
      <c r="V39" s="8"/>
      <c r="W39" s="8"/>
    </row>
    <row r="40" spans="1:23" ht="34.5" customHeight="1">
      <c r="A40" s="2746" t="s">
        <v>959</v>
      </c>
      <c r="B40" s="2747"/>
      <c r="C40" s="2747"/>
      <c r="D40" s="2747"/>
      <c r="E40" s="2749"/>
      <c r="F40" s="660" t="s">
        <v>960</v>
      </c>
      <c r="G40" s="685">
        <f t="shared" si="1"/>
        <v>204364</v>
      </c>
      <c r="H40" s="1121"/>
      <c r="I40" s="8"/>
      <c r="J40" s="8">
        <v>169000</v>
      </c>
      <c r="K40" s="8"/>
      <c r="L40" s="8"/>
      <c r="M40" s="8">
        <v>29664</v>
      </c>
      <c r="N40" s="8"/>
      <c r="O40" s="8"/>
      <c r="P40" s="8"/>
      <c r="Q40" s="8"/>
      <c r="R40" s="8"/>
      <c r="S40" s="8"/>
      <c r="T40" s="8"/>
      <c r="U40" s="8"/>
      <c r="V40" s="8">
        <v>5700</v>
      </c>
      <c r="W40" s="8"/>
    </row>
    <row r="41" spans="1:23" ht="24">
      <c r="A41" s="2733" t="s">
        <v>961</v>
      </c>
      <c r="B41" s="2742"/>
      <c r="C41" s="2742"/>
      <c r="D41" s="2742"/>
      <c r="E41" s="2743"/>
      <c r="F41" s="668" t="s">
        <v>962</v>
      </c>
      <c r="G41" s="685">
        <f t="shared" si="1"/>
        <v>9000</v>
      </c>
      <c r="H41" s="663" t="s">
        <v>946</v>
      </c>
      <c r="I41" s="8"/>
      <c r="J41" s="8"/>
      <c r="K41" s="8"/>
      <c r="L41" s="8"/>
      <c r="M41" s="8"/>
      <c r="N41" s="8"/>
      <c r="O41" s="8"/>
      <c r="P41" s="8"/>
      <c r="Q41" s="557"/>
      <c r="R41" s="8"/>
      <c r="S41" s="8"/>
      <c r="T41" s="8"/>
      <c r="U41" s="8">
        <v>6000</v>
      </c>
      <c r="V41" s="8"/>
      <c r="W41" s="8">
        <v>3000</v>
      </c>
    </row>
    <row r="42" spans="1:23" ht="12">
      <c r="A42" s="2744" t="s">
        <v>963</v>
      </c>
      <c r="B42" s="2744"/>
      <c r="C42" s="2744"/>
      <c r="D42" s="2744"/>
      <c r="E42" s="2745"/>
      <c r="F42" s="664" t="s">
        <v>964</v>
      </c>
      <c r="G42" s="685">
        <f t="shared" si="1"/>
        <v>0</v>
      </c>
      <c r="H42" s="673"/>
      <c r="I42" s="8"/>
      <c r="J42" s="8"/>
      <c r="K42" s="8"/>
      <c r="L42" s="8"/>
      <c r="M42" s="8"/>
      <c r="N42" s="8"/>
      <c r="O42" s="8"/>
      <c r="P42" s="8"/>
      <c r="Q42" s="8"/>
      <c r="R42" s="8"/>
      <c r="S42" s="8"/>
      <c r="T42" s="8"/>
      <c r="U42" s="8"/>
      <c r="V42" s="8"/>
      <c r="W42" s="8"/>
    </row>
    <row r="43" spans="1:23" ht="12.75">
      <c r="A43" s="2738" t="s">
        <v>880</v>
      </c>
      <c r="B43" s="2740"/>
      <c r="C43" s="2740"/>
      <c r="D43" s="2740"/>
      <c r="E43" s="2741"/>
      <c r="F43" s="232"/>
      <c r="G43" s="685"/>
      <c r="H43" s="672"/>
      <c r="I43" s="8"/>
      <c r="J43" s="8"/>
      <c r="K43" s="8"/>
      <c r="L43" s="8"/>
      <c r="M43" s="8"/>
      <c r="N43" s="8"/>
      <c r="O43" s="8"/>
      <c r="P43" s="8"/>
      <c r="Q43" s="8"/>
      <c r="R43" s="8"/>
      <c r="S43" s="8"/>
      <c r="T43" s="8"/>
      <c r="U43" s="8"/>
      <c r="V43" s="8"/>
      <c r="W43" s="8"/>
    </row>
    <row r="44" spans="1:23" ht="12.75">
      <c r="A44" s="2746" t="s">
        <v>966</v>
      </c>
      <c r="B44" s="2747"/>
      <c r="C44" s="2747"/>
      <c r="D44" s="2747"/>
      <c r="E44" s="2747"/>
      <c r="F44" s="674" t="s">
        <v>967</v>
      </c>
      <c r="G44" s="685">
        <f>SUM(I44:W44)</f>
        <v>0</v>
      </c>
      <c r="H44" s="675"/>
      <c r="I44" s="8"/>
      <c r="J44" s="8"/>
      <c r="K44" s="8"/>
      <c r="L44" s="8"/>
      <c r="M44" s="8"/>
      <c r="N44" s="8"/>
      <c r="O44" s="8"/>
      <c r="P44" s="8"/>
      <c r="Q44" s="8"/>
      <c r="R44" s="8"/>
      <c r="S44" s="8"/>
      <c r="T44" s="8"/>
      <c r="U44" s="8"/>
      <c r="V44" s="8"/>
      <c r="W44" s="8"/>
    </row>
    <row r="45" spans="1:23" ht="12.75">
      <c r="A45" s="2733" t="s">
        <v>968</v>
      </c>
      <c r="B45" s="2742"/>
      <c r="C45" s="2742"/>
      <c r="D45" s="2742"/>
      <c r="E45" s="2743"/>
      <c r="F45" s="676" t="s">
        <v>969</v>
      </c>
      <c r="G45" s="685">
        <f>SUM(I45:W45)</f>
        <v>0</v>
      </c>
      <c r="H45" s="673"/>
      <c r="I45" s="8"/>
      <c r="J45" s="8"/>
      <c r="K45" s="8"/>
      <c r="L45" s="8"/>
      <c r="M45" s="8"/>
      <c r="N45" s="8"/>
      <c r="O45" s="8"/>
      <c r="P45" s="8"/>
      <c r="Q45" s="8"/>
      <c r="R45" s="8"/>
      <c r="S45" s="8"/>
      <c r="T45" s="8"/>
      <c r="U45" s="8"/>
      <c r="V45" s="8"/>
      <c r="W45" s="8"/>
    </row>
    <row r="46" spans="1:23" ht="12.75">
      <c r="A46" s="2733" t="s">
        <v>970</v>
      </c>
      <c r="B46" s="2742"/>
      <c r="C46" s="2742"/>
      <c r="D46" s="2742"/>
      <c r="E46" s="2743"/>
      <c r="F46" s="676" t="s">
        <v>971</v>
      </c>
      <c r="G46" s="685">
        <f>SUM(I46:W46)</f>
        <v>0</v>
      </c>
      <c r="H46" s="673"/>
      <c r="I46" s="8"/>
      <c r="J46" s="8"/>
      <c r="K46" s="8"/>
      <c r="L46" s="8"/>
      <c r="M46" s="8"/>
      <c r="N46" s="8"/>
      <c r="O46" s="8"/>
      <c r="P46" s="8"/>
      <c r="Q46" s="8"/>
      <c r="R46" s="8"/>
      <c r="S46" s="8"/>
      <c r="T46" s="8"/>
      <c r="U46" s="8"/>
      <c r="V46" s="8"/>
      <c r="W46" s="8"/>
    </row>
    <row r="47" spans="1:23" ht="12">
      <c r="A47" s="2744" t="s">
        <v>972</v>
      </c>
      <c r="B47" s="2744"/>
      <c r="C47" s="2744"/>
      <c r="D47" s="2744"/>
      <c r="E47" s="2745"/>
      <c r="F47" s="677" t="s">
        <v>1023</v>
      </c>
      <c r="G47" s="685">
        <f>SUM(I47:W47)</f>
        <v>68101</v>
      </c>
      <c r="H47" s="673"/>
      <c r="I47" s="8">
        <v>932</v>
      </c>
      <c r="J47" s="8"/>
      <c r="K47" s="8"/>
      <c r="L47" s="8"/>
      <c r="M47" s="8"/>
      <c r="N47" s="8">
        <v>19200</v>
      </c>
      <c r="O47" s="8"/>
      <c r="P47" s="8"/>
      <c r="Q47" s="8"/>
      <c r="R47" s="8"/>
      <c r="S47" s="8">
        <v>10880</v>
      </c>
      <c r="T47" s="8">
        <v>21689</v>
      </c>
      <c r="U47" s="8"/>
      <c r="V47" s="8">
        <v>15400</v>
      </c>
      <c r="W47" s="8"/>
    </row>
    <row r="48" spans="1:23" ht="12.75" thickBot="1">
      <c r="A48" s="23"/>
      <c r="B48" s="23"/>
      <c r="C48" s="23"/>
      <c r="D48" s="23"/>
      <c r="E48" s="678" t="s">
        <v>66</v>
      </c>
      <c r="F48" s="679" t="s">
        <v>864</v>
      </c>
      <c r="G48" s="685">
        <f>G31+G33+G38+G47+G25</f>
        <v>1271554.1800000002</v>
      </c>
      <c r="H48" s="680"/>
      <c r="I48" s="10">
        <f>I25+I31+I33+I47</f>
        <v>335968.77</v>
      </c>
      <c r="J48" s="758">
        <f>J33+J38</f>
        <v>296699.23</v>
      </c>
      <c r="K48" s="10">
        <f>K31+K33+K38+K47+K25</f>
        <v>37797.14</v>
      </c>
      <c r="N48" s="10">
        <f>N33+N47</f>
        <v>68541.55</v>
      </c>
      <c r="Q48" s="758">
        <f>Q33+Q38</f>
        <v>161622.93</v>
      </c>
      <c r="S48" s="758">
        <f>S33+S38+S47</f>
        <v>53576.94</v>
      </c>
      <c r="T48" s="758">
        <f>T25+T33+T38+T42+T47</f>
        <v>38239</v>
      </c>
      <c r="U48" s="758">
        <f>U33+U38+U25+U47</f>
        <v>25260</v>
      </c>
      <c r="V48" s="758">
        <f>V33+V38+V47</f>
        <v>99610.6</v>
      </c>
      <c r="W48" s="758">
        <f>W33+W38</f>
        <v>60578.62</v>
      </c>
    </row>
  </sheetData>
  <mergeCells count="58">
    <mergeCell ref="A16:E16"/>
    <mergeCell ref="A17:E17"/>
    <mergeCell ref="A18:E18"/>
    <mergeCell ref="A41:E41"/>
    <mergeCell ref="A39:E39"/>
    <mergeCell ref="A30:E30"/>
    <mergeCell ref="A40:E40"/>
    <mergeCell ref="A33:E33"/>
    <mergeCell ref="A34:E34"/>
    <mergeCell ref="A36:E36"/>
    <mergeCell ref="A37:E37"/>
    <mergeCell ref="A38:E38"/>
    <mergeCell ref="A32:E32"/>
    <mergeCell ref="A35:E35"/>
    <mergeCell ref="A31:E31"/>
    <mergeCell ref="A20:E20"/>
    <mergeCell ref="A12:E12"/>
    <mergeCell ref="A11:E11"/>
    <mergeCell ref="A46:E46"/>
    <mergeCell ref="A47:E47"/>
    <mergeCell ref="A45:E45"/>
    <mergeCell ref="A42:E42"/>
    <mergeCell ref="A43:E43"/>
    <mergeCell ref="A44:E44"/>
    <mergeCell ref="A13:E13"/>
    <mergeCell ref="A14:E14"/>
    <mergeCell ref="A15:E15"/>
    <mergeCell ref="A25:E25"/>
    <mergeCell ref="A22:E22"/>
    <mergeCell ref="A23:E23"/>
    <mergeCell ref="A19:E19"/>
    <mergeCell ref="A27:E27"/>
    <mergeCell ref="A28:E28"/>
    <mergeCell ref="A29:E29"/>
    <mergeCell ref="A21:E21"/>
    <mergeCell ref="A24:E24"/>
    <mergeCell ref="A26:E26"/>
    <mergeCell ref="P8:P10"/>
    <mergeCell ref="B1:F1"/>
    <mergeCell ref="A5:I5"/>
    <mergeCell ref="A6:H6"/>
    <mergeCell ref="I8:I10"/>
    <mergeCell ref="A8:E10"/>
    <mergeCell ref="G8:G10"/>
    <mergeCell ref="J8:J10"/>
    <mergeCell ref="G1:J1"/>
    <mergeCell ref="M8:M10"/>
    <mergeCell ref="O8:O10"/>
    <mergeCell ref="N8:N10"/>
    <mergeCell ref="K8:K10"/>
    <mergeCell ref="L8:L10"/>
    <mergeCell ref="U8:U10"/>
    <mergeCell ref="V8:V10"/>
    <mergeCell ref="W8:W10"/>
    <mergeCell ref="Q8:Q10"/>
    <mergeCell ref="R8:R10"/>
    <mergeCell ref="S8:S10"/>
    <mergeCell ref="T8:T10"/>
  </mergeCells>
  <phoneticPr fontId="33" type="noConversion"/>
  <pageMargins left="0.17" right="0.16" top="0.45" bottom="0.18" header="0.5" footer="0.18"/>
  <pageSetup paperSize="9" scale="72" fitToHeight="0"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Лист13" enableFormatConditionsCalculation="0">
    <tabColor indexed="11"/>
  </sheetPr>
  <dimension ref="A1:IT920"/>
  <sheetViews>
    <sheetView topLeftCell="A419" zoomScale="68" zoomScaleNormal="68" workbookViewId="0">
      <selection activeCell="E323" sqref="E323"/>
    </sheetView>
  </sheetViews>
  <sheetFormatPr defaultRowHeight="11.25"/>
  <cols>
    <col min="1" max="1" width="54.83203125" style="2" customWidth="1"/>
    <col min="2" max="2" width="36" style="2" customWidth="1"/>
    <col min="3" max="3" width="24" style="2" customWidth="1"/>
    <col min="4" max="4" width="24.83203125" style="3" customWidth="1"/>
    <col min="5" max="5" width="23.6640625" style="3" customWidth="1"/>
    <col min="6" max="6" width="26" style="3" customWidth="1"/>
    <col min="7" max="7" width="24.1640625" style="3" customWidth="1"/>
    <col min="8" max="8" width="23.83203125" customWidth="1"/>
    <col min="9" max="9" width="26.33203125" customWidth="1"/>
    <col min="10" max="10" width="23.33203125" customWidth="1"/>
    <col min="11" max="11" width="9.33203125" hidden="1" customWidth="1"/>
    <col min="12" max="12" width="15.83203125" hidden="1" customWidth="1"/>
    <col min="13" max="45" width="9.33203125" hidden="1" customWidth="1"/>
    <col min="46" max="46" width="16.5" hidden="1" customWidth="1"/>
    <col min="47" max="57" width="9.33203125" hidden="1" customWidth="1"/>
    <col min="58" max="58" width="1.5" hidden="1" customWidth="1"/>
    <col min="59" max="59" width="9.6640625" hidden="1" customWidth="1"/>
    <col min="60" max="60" width="29" hidden="1" customWidth="1"/>
    <col min="61" max="68" width="9.33203125" hidden="1" customWidth="1"/>
    <col min="125" max="125" width="3.5" customWidth="1"/>
    <col min="126" max="126" width="0.33203125" hidden="1" customWidth="1"/>
    <col min="127" max="127" width="21.5" hidden="1" customWidth="1"/>
    <col min="128" max="133" width="9.33203125" hidden="1" customWidth="1"/>
  </cols>
  <sheetData>
    <row r="1" spans="1:137" s="1" customFormat="1" ht="19.5" customHeight="1">
      <c r="A1" s="2655" t="s">
        <v>984</v>
      </c>
      <c r="B1" s="2655"/>
      <c r="C1" s="2655"/>
      <c r="D1" s="2655"/>
      <c r="E1" s="2655"/>
      <c r="F1" s="2655"/>
      <c r="G1" s="2656"/>
      <c r="H1" s="66" t="s">
        <v>977</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row>
    <row r="2" spans="1:137" s="1" customFormat="1" ht="12.75">
      <c r="A2" s="2701" t="s">
        <v>2007</v>
      </c>
      <c r="B2" s="2701"/>
      <c r="C2" s="2701"/>
      <c r="D2" s="2701"/>
      <c r="E2" s="2701"/>
      <c r="F2" s="2666" t="s">
        <v>979</v>
      </c>
      <c r="G2" s="2667"/>
      <c r="H2" s="67" t="s">
        <v>978</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row>
    <row r="3" spans="1:137" s="1" customFormat="1" ht="12.75">
      <c r="A3" s="4" t="s">
        <v>986</v>
      </c>
      <c r="B3"/>
      <c r="C3"/>
      <c r="D3"/>
      <c r="E3"/>
      <c r="F3"/>
      <c r="G3" s="71" t="s">
        <v>987</v>
      </c>
      <c r="H3" s="68">
        <v>39609</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row>
    <row r="4" spans="1:137" ht="15">
      <c r="A4" s="5" t="s">
        <v>975</v>
      </c>
      <c r="B4" s="77" t="s">
        <v>772</v>
      </c>
      <c r="C4" s="5"/>
      <c r="D4" s="6"/>
      <c r="E4" s="6"/>
      <c r="F4" s="6"/>
      <c r="G4" s="6"/>
      <c r="H4" s="69"/>
    </row>
    <row r="5" spans="1:137" ht="12.75">
      <c r="A5" s="2657" t="s">
        <v>985</v>
      </c>
      <c r="B5" s="2657"/>
      <c r="C5" s="2657"/>
      <c r="D5" s="2657"/>
      <c r="E5" s="2657"/>
      <c r="F5" s="2657"/>
      <c r="G5" s="2657"/>
      <c r="H5" s="69"/>
    </row>
    <row r="6" spans="1:137" ht="12.75">
      <c r="A6" s="5" t="s">
        <v>980</v>
      </c>
      <c r="B6" s="5"/>
      <c r="C6"/>
      <c r="D6" t="s">
        <v>72</v>
      </c>
      <c r="E6"/>
      <c r="F6"/>
      <c r="G6" s="71" t="s">
        <v>981</v>
      </c>
      <c r="H6" s="69"/>
    </row>
    <row r="7" spans="1:137" ht="13.5" thickBot="1">
      <c r="A7" s="5" t="s">
        <v>976</v>
      </c>
      <c r="B7" s="5"/>
      <c r="C7"/>
      <c r="D7"/>
      <c r="E7"/>
      <c r="F7"/>
      <c r="G7" s="71" t="s">
        <v>982</v>
      </c>
      <c r="H7" s="70">
        <v>383</v>
      </c>
    </row>
    <row r="8" spans="1:137" ht="12.75">
      <c r="A8" s="2658" t="s">
        <v>74</v>
      </c>
      <c r="B8" s="2660" t="s">
        <v>216</v>
      </c>
      <c r="C8" s="2662" t="s">
        <v>2043</v>
      </c>
      <c r="D8" s="2663"/>
      <c r="E8" s="2664"/>
      <c r="F8" s="2662" t="s">
        <v>1016</v>
      </c>
      <c r="G8" s="2663"/>
      <c r="H8" s="2664"/>
    </row>
    <row r="9" spans="1:137" ht="58.5" customHeight="1">
      <c r="A9" s="2659"/>
      <c r="B9" s="2661"/>
      <c r="C9" s="50" t="s">
        <v>2075</v>
      </c>
      <c r="D9" s="51" t="s">
        <v>1018</v>
      </c>
      <c r="E9" s="52" t="s">
        <v>1021</v>
      </c>
      <c r="F9" s="50" t="s">
        <v>2075</v>
      </c>
      <c r="G9" s="51" t="s">
        <v>2077</v>
      </c>
      <c r="H9" s="52" t="s">
        <v>1021</v>
      </c>
    </row>
    <row r="10" spans="1:137" ht="12.75">
      <c r="A10" s="267"/>
      <c r="B10" s="53"/>
      <c r="C10" s="56" t="s">
        <v>840</v>
      </c>
      <c r="D10" s="56">
        <v>9</v>
      </c>
      <c r="E10" s="57">
        <v>10</v>
      </c>
      <c r="F10" s="56" t="s">
        <v>841</v>
      </c>
      <c r="G10" s="56">
        <v>17</v>
      </c>
      <c r="H10" s="57">
        <v>18</v>
      </c>
    </row>
    <row r="11" spans="1:137" ht="16.5">
      <c r="A11" s="268" t="s">
        <v>217</v>
      </c>
      <c r="B11" s="28" t="s">
        <v>199</v>
      </c>
      <c r="C11" s="78">
        <f>D11+E11</f>
        <v>49147500</v>
      </c>
      <c r="D11" s="79">
        <f>SUM(D12:D82)</f>
        <v>37323600</v>
      </c>
      <c r="E11" s="79">
        <f>SUM(E12:E82)</f>
        <v>11823900</v>
      </c>
      <c r="F11" s="78">
        <f>G11+H11</f>
        <v>10221424.57</v>
      </c>
      <c r="G11" s="79">
        <f>SUM(G12:G82)</f>
        <v>7757753.3300000001</v>
      </c>
      <c r="H11" s="79">
        <f>SUM(H12:H82)</f>
        <v>2463671.2399999998</v>
      </c>
    </row>
    <row r="12" spans="1:137" ht="102.75">
      <c r="A12" s="18" t="s">
        <v>1031</v>
      </c>
      <c r="B12" s="54" t="s">
        <v>2184</v>
      </c>
      <c r="C12" s="80">
        <f>D12+E12</f>
        <v>30806900</v>
      </c>
      <c r="D12" s="81">
        <f>Лист1!D18</f>
        <v>22689900</v>
      </c>
      <c r="E12" s="82">
        <f>Лист1!E18</f>
        <v>8117000</v>
      </c>
      <c r="F12" s="80">
        <f t="shared" ref="F12:F110" si="0">G12+H12</f>
        <v>6775400.5100000007</v>
      </c>
      <c r="G12" s="81">
        <f>Лист1!G18</f>
        <v>5132534.9800000004</v>
      </c>
      <c r="H12" s="82">
        <f>Лист1!H18</f>
        <v>1642865.53</v>
      </c>
    </row>
    <row r="13" spans="1:137" ht="16.5">
      <c r="B13" s="54" t="s">
        <v>1672</v>
      </c>
      <c r="C13" s="80">
        <f t="shared" ref="C13:C81" si="1">D13+E13</f>
        <v>27000</v>
      </c>
      <c r="D13" s="81">
        <f>Лист1!D19</f>
        <v>20500</v>
      </c>
      <c r="E13" s="82">
        <f>Лист1!E19</f>
        <v>6500</v>
      </c>
      <c r="F13" s="80">
        <f t="shared" si="0"/>
        <v>5168.22</v>
      </c>
      <c r="G13" s="81">
        <f>Лист1!G19</f>
        <v>3915.32</v>
      </c>
      <c r="H13" s="82">
        <f>Лист1!H19</f>
        <v>1252.9000000000001</v>
      </c>
    </row>
    <row r="14" spans="1:137" ht="102.75">
      <c r="A14" s="18" t="s">
        <v>1032</v>
      </c>
      <c r="B14" s="54" t="s">
        <v>2186</v>
      </c>
      <c r="C14" s="80">
        <f t="shared" si="1"/>
        <v>0</v>
      </c>
      <c r="D14" s="81">
        <f>Лист1!D20</f>
        <v>0</v>
      </c>
      <c r="E14" s="82">
        <f>Лист1!E20</f>
        <v>0</v>
      </c>
      <c r="F14" s="80">
        <f t="shared" si="0"/>
        <v>0</v>
      </c>
      <c r="G14" s="81">
        <f>Лист1!G20</f>
        <v>0</v>
      </c>
      <c r="H14" s="82">
        <f>Лист1!H20</f>
        <v>0</v>
      </c>
    </row>
    <row r="15" spans="1:137" ht="51.75">
      <c r="A15" s="18" t="s">
        <v>1033</v>
      </c>
      <c r="B15" s="54" t="s">
        <v>2187</v>
      </c>
      <c r="C15" s="80">
        <f t="shared" si="1"/>
        <v>10400</v>
      </c>
      <c r="D15" s="81">
        <f>Лист1!D21</f>
        <v>7900</v>
      </c>
      <c r="E15" s="82">
        <f>Лист1!E21</f>
        <v>2500</v>
      </c>
      <c r="F15" s="80">
        <f t="shared" si="0"/>
        <v>20474.03</v>
      </c>
      <c r="G15" s="81">
        <f>Лист1!G21</f>
        <v>15510.63</v>
      </c>
      <c r="H15" s="82">
        <f>Лист1!H21</f>
        <v>4963.3999999999996</v>
      </c>
    </row>
    <row r="16" spans="1:137" ht="242.25">
      <c r="A16" s="269" t="s">
        <v>1270</v>
      </c>
      <c r="B16" s="54" t="s">
        <v>2188</v>
      </c>
      <c r="C16" s="80">
        <f t="shared" si="1"/>
        <v>0</v>
      </c>
      <c r="D16" s="81">
        <f>Лист1!D22</f>
        <v>0</v>
      </c>
      <c r="E16" s="82">
        <f>Лист1!E22</f>
        <v>0</v>
      </c>
      <c r="F16" s="80" t="s">
        <v>2119</v>
      </c>
      <c r="G16" s="81">
        <f>Лист1!G22</f>
        <v>0</v>
      </c>
      <c r="H16" s="82">
        <f>Лист1!H22</f>
        <v>0</v>
      </c>
    </row>
    <row r="17" spans="1:8" ht="77.25">
      <c r="A17" s="270" t="s">
        <v>237</v>
      </c>
      <c r="B17" s="54" t="s">
        <v>2189</v>
      </c>
      <c r="C17" s="80">
        <f t="shared" si="1"/>
        <v>0</v>
      </c>
      <c r="D17" s="81">
        <f>Лист1!D23</f>
        <v>0</v>
      </c>
      <c r="E17" s="82">
        <f>Лист1!E23</f>
        <v>0</v>
      </c>
      <c r="F17" s="80">
        <f t="shared" si="0"/>
        <v>0</v>
      </c>
      <c r="G17" s="81">
        <f>Лист1!G23</f>
        <v>0</v>
      </c>
      <c r="H17" s="82">
        <f>Лист1!H23</f>
        <v>0</v>
      </c>
    </row>
    <row r="18" spans="1:8" ht="16.5">
      <c r="A18" s="270"/>
      <c r="B18" s="54" t="s">
        <v>1159</v>
      </c>
      <c r="C18" s="80">
        <f t="shared" si="1"/>
        <v>428400</v>
      </c>
      <c r="D18" s="81">
        <f>Лист1!D24</f>
        <v>0</v>
      </c>
      <c r="E18" s="82">
        <f>Лист1!E24</f>
        <v>428400</v>
      </c>
      <c r="F18" s="80">
        <f t="shared" si="0"/>
        <v>130772.71999999999</v>
      </c>
      <c r="G18" s="81">
        <f>Лист1!G24</f>
        <v>0</v>
      </c>
      <c r="H18" s="82">
        <f>Лист1!H24</f>
        <v>130772.71999999999</v>
      </c>
    </row>
    <row r="19" spans="1:8" ht="16.5">
      <c r="A19" s="270"/>
      <c r="B19" s="54" t="s">
        <v>1160</v>
      </c>
      <c r="C19" s="80">
        <f t="shared" si="1"/>
        <v>14600</v>
      </c>
      <c r="D19" s="81">
        <f>Лист1!D25</f>
        <v>0</v>
      </c>
      <c r="E19" s="82">
        <f>Лист1!E25</f>
        <v>14600</v>
      </c>
      <c r="F19" s="80">
        <f t="shared" si="0"/>
        <v>2284.52</v>
      </c>
      <c r="G19" s="81">
        <f>Лист1!G25</f>
        <v>0</v>
      </c>
      <c r="H19" s="82">
        <f>Лист1!H25</f>
        <v>2284.52</v>
      </c>
    </row>
    <row r="20" spans="1:8" ht="16.5">
      <c r="A20" s="270"/>
      <c r="B20" s="54" t="s">
        <v>1161</v>
      </c>
      <c r="C20" s="80">
        <f t="shared" si="1"/>
        <v>893700</v>
      </c>
      <c r="D20" s="81">
        <f>Лист1!D26</f>
        <v>0</v>
      </c>
      <c r="E20" s="82">
        <f>Лист1!E26</f>
        <v>893700</v>
      </c>
      <c r="F20" s="80">
        <f t="shared" si="0"/>
        <v>266411.44</v>
      </c>
      <c r="G20" s="81">
        <f>Лист1!G26</f>
        <v>0</v>
      </c>
      <c r="H20" s="82">
        <f>Лист1!H26</f>
        <v>266411.44</v>
      </c>
    </row>
    <row r="21" spans="1:8" ht="39">
      <c r="A21" s="270" t="s">
        <v>2174</v>
      </c>
      <c r="B21" s="54" t="s">
        <v>1163</v>
      </c>
      <c r="C21" s="80">
        <f t="shared" si="1"/>
        <v>10000</v>
      </c>
      <c r="D21" s="81">
        <f>Лист1!D27</f>
        <v>0</v>
      </c>
      <c r="E21" s="82">
        <f>Лист1!E27</f>
        <v>10000</v>
      </c>
      <c r="F21" s="80">
        <f t="shared" si="0"/>
        <v>-23513.160000000003</v>
      </c>
      <c r="G21" s="81">
        <f>Лист1!G27</f>
        <v>0</v>
      </c>
      <c r="H21" s="82">
        <f>Лист1!H27</f>
        <v>-23513.160000000003</v>
      </c>
    </row>
    <row r="22" spans="1:8" ht="39">
      <c r="A22" s="18" t="s">
        <v>1272</v>
      </c>
      <c r="B22" s="54" t="s">
        <v>756</v>
      </c>
      <c r="C22" s="80">
        <f t="shared" si="1"/>
        <v>0</v>
      </c>
      <c r="D22" s="81">
        <f>Лист1!D29</f>
        <v>0</v>
      </c>
      <c r="E22" s="82">
        <f>Лист1!E30</f>
        <v>0</v>
      </c>
      <c r="F22" s="80">
        <f t="shared" si="0"/>
        <v>0</v>
      </c>
      <c r="G22" s="81">
        <f>Лист1!G29</f>
        <v>0</v>
      </c>
      <c r="H22" s="82">
        <f>Лист1!H29</f>
        <v>0</v>
      </c>
    </row>
    <row r="23" spans="1:8" ht="39">
      <c r="A23" s="18" t="s">
        <v>2175</v>
      </c>
      <c r="B23" s="54" t="s">
        <v>1054</v>
      </c>
      <c r="C23" s="80">
        <f t="shared" si="1"/>
        <v>0</v>
      </c>
      <c r="D23" s="81">
        <f>Лист1!D30</f>
        <v>0</v>
      </c>
      <c r="E23" s="82">
        <f>Лист1!E31</f>
        <v>0</v>
      </c>
      <c r="F23" s="80">
        <f t="shared" si="0"/>
        <v>0</v>
      </c>
      <c r="G23" s="81">
        <f>Лист1!G30</f>
        <v>0</v>
      </c>
      <c r="H23" s="82">
        <f>Лист1!H30</f>
        <v>0</v>
      </c>
    </row>
    <row r="24" spans="1:8" ht="39">
      <c r="A24" s="18" t="s">
        <v>1276</v>
      </c>
      <c r="B24" s="54" t="s">
        <v>757</v>
      </c>
      <c r="C24" s="80">
        <f t="shared" si="1"/>
        <v>0</v>
      </c>
      <c r="D24" s="81">
        <f>Лист1!D31</f>
        <v>0</v>
      </c>
      <c r="E24" s="82">
        <f>Лист1!E32</f>
        <v>0</v>
      </c>
      <c r="F24" s="80">
        <f t="shared" si="0"/>
        <v>0</v>
      </c>
      <c r="G24" s="81">
        <f>Лист1!G31</f>
        <v>0</v>
      </c>
      <c r="H24" s="82">
        <f>Лист1!H31</f>
        <v>0</v>
      </c>
    </row>
    <row r="25" spans="1:8" ht="26.25">
      <c r="A25" s="18" t="s">
        <v>2176</v>
      </c>
      <c r="B25" s="54" t="s">
        <v>1055</v>
      </c>
      <c r="C25" s="80">
        <f t="shared" si="1"/>
        <v>0</v>
      </c>
      <c r="D25" s="81">
        <f>Лист1!D32</f>
        <v>0</v>
      </c>
      <c r="E25" s="82">
        <f>Лист1!E33</f>
        <v>0</v>
      </c>
      <c r="F25" s="80">
        <f t="shared" si="0"/>
        <v>0</v>
      </c>
      <c r="G25" s="81">
        <f>Лист1!G32</f>
        <v>0</v>
      </c>
      <c r="H25" s="82">
        <f>Лист1!H32</f>
        <v>0</v>
      </c>
    </row>
    <row r="26" spans="1:8" ht="26.25">
      <c r="A26" s="18" t="s">
        <v>238</v>
      </c>
      <c r="B26" s="54" t="s">
        <v>758</v>
      </c>
      <c r="C26" s="80">
        <f t="shared" si="1"/>
        <v>2385000</v>
      </c>
      <c r="D26" s="81">
        <f>Лист1!D33</f>
        <v>2385000</v>
      </c>
      <c r="E26" s="82">
        <f>Лист1!E34</f>
        <v>0</v>
      </c>
      <c r="F26" s="80">
        <f t="shared" si="0"/>
        <v>539146.29</v>
      </c>
      <c r="G26" s="81">
        <f>Лист1!G33</f>
        <v>539146.29</v>
      </c>
      <c r="H26" s="82">
        <f>Лист1!H33</f>
        <v>0</v>
      </c>
    </row>
    <row r="27" spans="1:8" ht="39">
      <c r="A27" s="18" t="s">
        <v>2177</v>
      </c>
      <c r="B27" s="54" t="s">
        <v>759</v>
      </c>
      <c r="C27" s="80">
        <f t="shared" si="1"/>
        <v>400000</v>
      </c>
      <c r="D27" s="81">
        <f>Лист1!D34</f>
        <v>0</v>
      </c>
      <c r="E27" s="82">
        <f>Лист1!E35</f>
        <v>400000</v>
      </c>
      <c r="F27" s="80">
        <f t="shared" si="0"/>
        <v>0</v>
      </c>
      <c r="G27" s="81">
        <f>Лист1!G34</f>
        <v>0</v>
      </c>
      <c r="H27" s="82">
        <f>Лист1!H34</f>
        <v>0</v>
      </c>
    </row>
    <row r="28" spans="1:8" ht="51.75">
      <c r="A28" s="18" t="s">
        <v>1277</v>
      </c>
      <c r="B28" s="54" t="s">
        <v>2195</v>
      </c>
      <c r="C28" s="80">
        <f t="shared" si="1"/>
        <v>0</v>
      </c>
      <c r="D28" s="81">
        <f>Лист1!D35</f>
        <v>0</v>
      </c>
      <c r="E28" s="82">
        <f>Лист1!E36</f>
        <v>0</v>
      </c>
      <c r="F28" s="80">
        <f t="shared" si="0"/>
        <v>25104.93</v>
      </c>
      <c r="G28" s="81">
        <f>Лист1!G35</f>
        <v>0</v>
      </c>
      <c r="H28" s="82">
        <f>Лист1!H35</f>
        <v>25104.93</v>
      </c>
    </row>
    <row r="29" spans="1:8" ht="16.5">
      <c r="A29" s="18" t="s">
        <v>1278</v>
      </c>
      <c r="B29" s="54" t="s">
        <v>2192</v>
      </c>
      <c r="C29" s="80">
        <f t="shared" si="1"/>
        <v>0</v>
      </c>
      <c r="D29" s="81">
        <f>Лист1!D36</f>
        <v>0</v>
      </c>
      <c r="E29" s="82">
        <f>Лист1!E37</f>
        <v>0</v>
      </c>
      <c r="F29" s="80">
        <f t="shared" si="0"/>
        <v>0</v>
      </c>
      <c r="G29" s="81">
        <f>Лист1!G36</f>
        <v>0</v>
      </c>
      <c r="H29" s="82">
        <f>Лист1!H36</f>
        <v>0</v>
      </c>
    </row>
    <row r="30" spans="1:8" ht="16.5">
      <c r="A30" s="271" t="s">
        <v>1279</v>
      </c>
      <c r="B30" s="54" t="s">
        <v>2193</v>
      </c>
      <c r="C30" s="80">
        <f t="shared" si="1"/>
        <v>712000</v>
      </c>
      <c r="D30" s="81">
        <f>Лист1!D37</f>
        <v>0</v>
      </c>
      <c r="E30" s="82">
        <f>Лист1!E39</f>
        <v>712000</v>
      </c>
      <c r="F30" s="80">
        <f t="shared" si="0"/>
        <v>0</v>
      </c>
      <c r="G30" s="81">
        <f>Лист1!G37</f>
        <v>0</v>
      </c>
      <c r="H30" s="82">
        <f>Лист1!H37</f>
        <v>0</v>
      </c>
    </row>
    <row r="31" spans="1:8" ht="77.25">
      <c r="A31" s="18" t="s">
        <v>1286</v>
      </c>
      <c r="B31" s="54" t="s">
        <v>2194</v>
      </c>
      <c r="C31" s="80">
        <f t="shared" si="1"/>
        <v>218000</v>
      </c>
      <c r="D31" s="81">
        <f>Лист1!D39</f>
        <v>0</v>
      </c>
      <c r="E31" s="82">
        <f>Лист1!E40</f>
        <v>218000</v>
      </c>
      <c r="F31" s="80">
        <f t="shared" si="0"/>
        <v>193100.61</v>
      </c>
      <c r="G31" s="81">
        <f>Лист1!G39</f>
        <v>0</v>
      </c>
      <c r="H31" s="82">
        <f>Лист1!H39</f>
        <v>193100.61</v>
      </c>
    </row>
    <row r="32" spans="1:8" ht="77.25">
      <c r="A32" s="18" t="s">
        <v>1</v>
      </c>
      <c r="B32" s="54" t="s">
        <v>2196</v>
      </c>
      <c r="C32" s="80">
        <f t="shared" si="1"/>
        <v>0</v>
      </c>
      <c r="D32" s="81">
        <f>Лист1!D40</f>
        <v>0</v>
      </c>
      <c r="E32" s="82">
        <f>Лист1!E41</f>
        <v>0</v>
      </c>
      <c r="F32" s="80">
        <f t="shared" si="0"/>
        <v>52647.839999999997</v>
      </c>
      <c r="G32" s="81">
        <f>Лист1!G40</f>
        <v>0</v>
      </c>
      <c r="H32" s="82">
        <f>Лист1!H40</f>
        <v>52647.839999999997</v>
      </c>
    </row>
    <row r="33" spans="1:8" ht="26.25">
      <c r="A33" s="18" t="s">
        <v>2</v>
      </c>
      <c r="B33" s="54" t="s">
        <v>2197</v>
      </c>
      <c r="C33" s="80">
        <f t="shared" si="1"/>
        <v>0</v>
      </c>
      <c r="D33" s="81">
        <f>Лист1!D41</f>
        <v>0</v>
      </c>
      <c r="E33" s="82">
        <f>Лист1!E42</f>
        <v>0</v>
      </c>
      <c r="F33" s="80">
        <f t="shared" si="0"/>
        <v>0</v>
      </c>
      <c r="G33" s="81">
        <f>Лист1!G41</f>
        <v>0</v>
      </c>
      <c r="H33" s="82">
        <f>Лист1!H41</f>
        <v>0</v>
      </c>
    </row>
    <row r="34" spans="1:8" ht="39">
      <c r="A34" s="18" t="s">
        <v>3</v>
      </c>
      <c r="B34" s="54" t="s">
        <v>2198</v>
      </c>
      <c r="C34" s="80">
        <f t="shared" si="1"/>
        <v>0</v>
      </c>
      <c r="D34" s="81">
        <f>Лист1!D42</f>
        <v>0</v>
      </c>
      <c r="E34" s="82">
        <f>Лист1!E43</f>
        <v>0</v>
      </c>
      <c r="F34" s="80">
        <f t="shared" si="0"/>
        <v>0</v>
      </c>
      <c r="G34" s="81">
        <f>Лист1!G42</f>
        <v>0</v>
      </c>
      <c r="H34" s="82">
        <f>Лист1!H42</f>
        <v>0</v>
      </c>
    </row>
    <row r="35" spans="1:8" ht="83.25" customHeight="1">
      <c r="A35" s="269" t="s">
        <v>4</v>
      </c>
      <c r="B35" s="54" t="s">
        <v>2199</v>
      </c>
      <c r="C35" s="80">
        <f t="shared" si="1"/>
        <v>1300000</v>
      </c>
      <c r="D35" s="81">
        <f>Лист1!D43</f>
        <v>1300000</v>
      </c>
      <c r="E35" s="82">
        <f>Лист1!E43</f>
        <v>0</v>
      </c>
      <c r="F35" s="80">
        <f t="shared" si="0"/>
        <v>154850.26</v>
      </c>
      <c r="G35" s="81">
        <f>Лист1!G43</f>
        <v>154850.26</v>
      </c>
      <c r="H35" s="82">
        <f>Лист1!H43</f>
        <v>0</v>
      </c>
    </row>
    <row r="36" spans="1:8" ht="83.25" customHeight="1">
      <c r="A36" s="269" t="s">
        <v>749</v>
      </c>
      <c r="B36" s="54" t="s">
        <v>1764</v>
      </c>
      <c r="C36" s="80">
        <f t="shared" si="1"/>
        <v>130000</v>
      </c>
      <c r="D36" s="81">
        <f>Лист1!D44</f>
        <v>130000</v>
      </c>
      <c r="E36" s="82">
        <f>Лист1!E44</f>
        <v>0</v>
      </c>
      <c r="F36" s="80">
        <f t="shared" si="0"/>
        <v>3500</v>
      </c>
      <c r="G36" s="81">
        <f>Лист1!G44</f>
        <v>3500</v>
      </c>
      <c r="H36" s="82">
        <f>Лист1!H44</f>
        <v>0</v>
      </c>
    </row>
    <row r="37" spans="1:8" ht="109.5" customHeight="1">
      <c r="A37" s="269" t="s">
        <v>5</v>
      </c>
      <c r="B37" s="54" t="s">
        <v>2200</v>
      </c>
      <c r="C37" s="80">
        <f t="shared" si="1"/>
        <v>0</v>
      </c>
      <c r="D37" s="81">
        <f>Лист1!D45</f>
        <v>0</v>
      </c>
      <c r="E37" s="82">
        <f>Лист1!E45</f>
        <v>0</v>
      </c>
      <c r="F37" s="80">
        <f t="shared" si="0"/>
        <v>0</v>
      </c>
      <c r="G37" s="81">
        <f>Лист1!G45</f>
        <v>0</v>
      </c>
      <c r="H37" s="82">
        <f>Лист1!H45</f>
        <v>0</v>
      </c>
    </row>
    <row r="38" spans="1:8" ht="51.75">
      <c r="A38" s="18" t="s">
        <v>6</v>
      </c>
      <c r="B38" s="54" t="s">
        <v>2201</v>
      </c>
      <c r="C38" s="80">
        <f t="shared" si="1"/>
        <v>0</v>
      </c>
      <c r="D38" s="81">
        <f>Лист1!D46</f>
        <v>0</v>
      </c>
      <c r="E38" s="82">
        <f>Лист1!E46</f>
        <v>0</v>
      </c>
      <c r="F38" s="80">
        <f t="shared" si="0"/>
        <v>0</v>
      </c>
      <c r="G38" s="81">
        <f>Лист1!G46</f>
        <v>0</v>
      </c>
      <c r="H38" s="82">
        <f>Лист1!H46</f>
        <v>0</v>
      </c>
    </row>
    <row r="39" spans="1:8" ht="39">
      <c r="A39" s="18" t="s">
        <v>1691</v>
      </c>
      <c r="B39" s="54" t="s">
        <v>2202</v>
      </c>
      <c r="C39" s="80">
        <f t="shared" si="1"/>
        <v>0</v>
      </c>
      <c r="D39" s="81">
        <f>Лист1!D47</f>
        <v>0</v>
      </c>
      <c r="E39" s="82">
        <f>Лист1!E47</f>
        <v>0</v>
      </c>
      <c r="F39" s="80">
        <f t="shared" si="0"/>
        <v>0</v>
      </c>
      <c r="G39" s="81">
        <f>Лист1!G47</f>
        <v>0</v>
      </c>
      <c r="H39" s="82">
        <f>Лист1!H47</f>
        <v>0</v>
      </c>
    </row>
    <row r="40" spans="1:8" ht="16.5">
      <c r="A40" s="18" t="s">
        <v>2160</v>
      </c>
      <c r="B40" s="54" t="s">
        <v>2203</v>
      </c>
      <c r="C40" s="80">
        <f t="shared" si="1"/>
        <v>0</v>
      </c>
      <c r="D40" s="81">
        <f>Лист1!D48</f>
        <v>0</v>
      </c>
      <c r="E40" s="82">
        <f>Лист1!E48</f>
        <v>0</v>
      </c>
      <c r="F40" s="80">
        <f t="shared" si="0"/>
        <v>0</v>
      </c>
      <c r="G40" s="81">
        <f>Лист1!G48</f>
        <v>0</v>
      </c>
      <c r="H40" s="82">
        <f>Лист1!H48</f>
        <v>0</v>
      </c>
    </row>
    <row r="41" spans="1:8" ht="39">
      <c r="A41" s="18" t="s">
        <v>2161</v>
      </c>
      <c r="B41" s="54" t="s">
        <v>2207</v>
      </c>
      <c r="C41" s="80">
        <f t="shared" si="1"/>
        <v>0</v>
      </c>
      <c r="D41" s="81">
        <f>Лист1!D49</f>
        <v>0</v>
      </c>
      <c r="E41" s="82">
        <f>Лист1!E49</f>
        <v>0</v>
      </c>
      <c r="F41" s="80">
        <f t="shared" si="0"/>
        <v>0</v>
      </c>
      <c r="G41" s="81">
        <f>Лист1!G49</f>
        <v>0</v>
      </c>
      <c r="H41" s="82">
        <f>Лист1!H49</f>
        <v>0</v>
      </c>
    </row>
    <row r="42" spans="1:8" ht="16.5">
      <c r="A42" s="18" t="s">
        <v>39</v>
      </c>
      <c r="B42" s="54" t="s">
        <v>2208</v>
      </c>
      <c r="C42" s="80">
        <f t="shared" si="1"/>
        <v>0</v>
      </c>
      <c r="D42" s="81">
        <f>Лист1!D50</f>
        <v>0</v>
      </c>
      <c r="E42" s="82">
        <f>Лист1!E50</f>
        <v>0</v>
      </c>
      <c r="F42" s="80">
        <f t="shared" si="0"/>
        <v>0</v>
      </c>
      <c r="G42" s="81">
        <f>Лист1!G50</f>
        <v>0</v>
      </c>
      <c r="H42" s="82">
        <f>Лист1!H50</f>
        <v>0</v>
      </c>
    </row>
    <row r="43" spans="1:8" ht="26.25">
      <c r="A43" s="18" t="s">
        <v>2121</v>
      </c>
      <c r="B43" s="54" t="s">
        <v>872</v>
      </c>
      <c r="C43" s="80">
        <f t="shared" si="1"/>
        <v>0</v>
      </c>
      <c r="D43" s="81">
        <f>Лист1!D51</f>
        <v>0</v>
      </c>
      <c r="E43" s="82">
        <f>Лист1!E51</f>
        <v>0</v>
      </c>
      <c r="F43" s="80">
        <f t="shared" si="0"/>
        <v>0</v>
      </c>
      <c r="G43" s="81">
        <f>Лист1!G51</f>
        <v>0</v>
      </c>
      <c r="H43" s="82">
        <f>Лист1!H51</f>
        <v>0</v>
      </c>
    </row>
    <row r="44" spans="1:8" ht="102.75">
      <c r="A44" s="18" t="s">
        <v>2123</v>
      </c>
      <c r="B44" s="54" t="s">
        <v>2044</v>
      </c>
      <c r="C44" s="80">
        <f t="shared" si="1"/>
        <v>0</v>
      </c>
      <c r="D44" s="81">
        <f>Лист1!D52</f>
        <v>0</v>
      </c>
      <c r="E44" s="82">
        <f>Лист1!E52</f>
        <v>0</v>
      </c>
      <c r="F44" s="80">
        <f t="shared" si="0"/>
        <v>0</v>
      </c>
      <c r="G44" s="81">
        <f>Лист1!G52</f>
        <v>0</v>
      </c>
      <c r="H44" s="82">
        <f>Лист1!H52</f>
        <v>0</v>
      </c>
    </row>
    <row r="45" spans="1:8" ht="90">
      <c r="A45" s="18" t="s">
        <v>2124</v>
      </c>
      <c r="B45" s="54" t="s">
        <v>2045</v>
      </c>
      <c r="C45" s="80">
        <f t="shared" si="1"/>
        <v>0</v>
      </c>
      <c r="D45" s="81">
        <f>Лист1!D53</f>
        <v>0</v>
      </c>
      <c r="E45" s="82">
        <f>Лист1!E53</f>
        <v>0</v>
      </c>
      <c r="F45" s="80">
        <f t="shared" si="0"/>
        <v>0</v>
      </c>
      <c r="G45" s="81">
        <f>Лист1!G53</f>
        <v>0</v>
      </c>
      <c r="H45" s="82">
        <f>Лист1!H53</f>
        <v>0</v>
      </c>
    </row>
    <row r="46" spans="1:8" ht="90">
      <c r="A46" s="18" t="s">
        <v>2125</v>
      </c>
      <c r="B46" s="54"/>
      <c r="C46" s="80">
        <f t="shared" si="1"/>
        <v>0</v>
      </c>
      <c r="D46" s="81">
        <f>Лист1!D54</f>
        <v>0</v>
      </c>
      <c r="E46" s="82">
        <f>Лист1!E54</f>
        <v>0</v>
      </c>
      <c r="F46" s="80">
        <f t="shared" si="0"/>
        <v>0</v>
      </c>
      <c r="G46" s="81">
        <f>Лист1!G54</f>
        <v>0</v>
      </c>
      <c r="H46" s="82">
        <f>Лист1!H54</f>
        <v>0</v>
      </c>
    </row>
    <row r="47" spans="1:8" ht="77.25">
      <c r="A47" s="18" t="s">
        <v>2178</v>
      </c>
      <c r="B47" s="54" t="s">
        <v>870</v>
      </c>
      <c r="C47" s="80">
        <f t="shared" si="1"/>
        <v>410000</v>
      </c>
      <c r="D47" s="81">
        <f>Лист1!D55</f>
        <v>410000</v>
      </c>
      <c r="E47" s="82">
        <f>Лист1!E55</f>
        <v>0</v>
      </c>
      <c r="F47" s="80">
        <f t="shared" si="0"/>
        <v>79633.14</v>
      </c>
      <c r="G47" s="81">
        <f>Лист1!G55</f>
        <v>79633.14</v>
      </c>
      <c r="H47" s="82">
        <f>Лист1!H55</f>
        <v>0</v>
      </c>
    </row>
    <row r="48" spans="1:8" ht="77.25">
      <c r="A48" s="18" t="s">
        <v>2179</v>
      </c>
      <c r="B48" s="54" t="s">
        <v>873</v>
      </c>
      <c r="C48" s="80">
        <f t="shared" si="1"/>
        <v>543000</v>
      </c>
      <c r="D48" s="81">
        <f>Лист1!D56</f>
        <v>260500</v>
      </c>
      <c r="E48" s="82">
        <f>Лист1!E56</f>
        <v>282500</v>
      </c>
      <c r="F48" s="80">
        <f t="shared" si="0"/>
        <v>7100</v>
      </c>
      <c r="G48" s="81">
        <f>Лист1!G56</f>
        <v>3550.01</v>
      </c>
      <c r="H48" s="82">
        <f>Лист1!H56</f>
        <v>3549.99</v>
      </c>
    </row>
    <row r="49" spans="1:8" ht="64.5">
      <c r="A49" s="18" t="s">
        <v>2126</v>
      </c>
      <c r="B49" s="54" t="s">
        <v>2266</v>
      </c>
      <c r="C49" s="80">
        <f t="shared" si="1"/>
        <v>1480200</v>
      </c>
      <c r="D49" s="81">
        <f>Лист1!D57</f>
        <v>1480200</v>
      </c>
      <c r="E49" s="82">
        <f>Лист1!E57</f>
        <v>0</v>
      </c>
      <c r="F49" s="80">
        <f t="shared" si="0"/>
        <v>92813.07</v>
      </c>
      <c r="G49" s="81">
        <f>Лист1!G57</f>
        <v>92813.07</v>
      </c>
      <c r="H49" s="82">
        <f>Лист1!H57</f>
        <v>0</v>
      </c>
    </row>
    <row r="50" spans="1:8" ht="64.5">
      <c r="A50" s="18" t="s">
        <v>1632</v>
      </c>
      <c r="B50" s="54" t="s">
        <v>2270</v>
      </c>
      <c r="C50" s="80">
        <f t="shared" si="1"/>
        <v>498700</v>
      </c>
      <c r="D50" s="81">
        <f>Лист1!D58</f>
        <v>0</v>
      </c>
      <c r="E50" s="82">
        <f>Лист1!E58</f>
        <v>498700</v>
      </c>
      <c r="F50" s="80">
        <f t="shared" si="0"/>
        <v>108985.52</v>
      </c>
      <c r="G50" s="81">
        <f>Лист1!G58</f>
        <v>0</v>
      </c>
      <c r="H50" s="82">
        <f>Лист1!H58</f>
        <v>108985.52</v>
      </c>
    </row>
    <row r="51" spans="1:8" ht="26.25">
      <c r="A51" s="18" t="s">
        <v>2166</v>
      </c>
      <c r="B51" s="54" t="s">
        <v>2170</v>
      </c>
      <c r="C51" s="80">
        <f t="shared" si="1"/>
        <v>3800</v>
      </c>
      <c r="D51" s="81">
        <f>Лист1!D59</f>
        <v>3800</v>
      </c>
      <c r="E51" s="82">
        <f>Лист1!E59</f>
        <v>0</v>
      </c>
      <c r="F51" s="80">
        <f t="shared" si="0"/>
        <v>2258.6999999999998</v>
      </c>
      <c r="G51" s="81">
        <f>Лист1!G59</f>
        <v>2258.6999999999998</v>
      </c>
      <c r="H51" s="82">
        <f>Лист1!H59</f>
        <v>0</v>
      </c>
    </row>
    <row r="52" spans="1:8" ht="26.25">
      <c r="A52" s="18" t="s">
        <v>2167</v>
      </c>
      <c r="B52" s="54" t="s">
        <v>2171</v>
      </c>
      <c r="C52" s="80">
        <f t="shared" si="1"/>
        <v>1500</v>
      </c>
      <c r="D52" s="81">
        <f>Лист1!D60</f>
        <v>1500</v>
      </c>
      <c r="E52" s="82">
        <f>Лист1!E60</f>
        <v>0</v>
      </c>
      <c r="F52" s="80">
        <f t="shared" si="0"/>
        <v>0</v>
      </c>
      <c r="G52" s="81">
        <f>Лист1!G60</f>
        <v>0</v>
      </c>
      <c r="H52" s="82">
        <f>Лист1!H60</f>
        <v>0</v>
      </c>
    </row>
    <row r="53" spans="1:8" ht="26.25">
      <c r="A53" s="18" t="s">
        <v>2168</v>
      </c>
      <c r="B53" s="54" t="s">
        <v>2172</v>
      </c>
      <c r="C53" s="80">
        <f t="shared" si="1"/>
        <v>900</v>
      </c>
      <c r="D53" s="81">
        <f>Лист1!D61</f>
        <v>900</v>
      </c>
      <c r="E53" s="82">
        <f>Лист1!E61</f>
        <v>0</v>
      </c>
      <c r="F53" s="80">
        <f t="shared" si="0"/>
        <v>109.65</v>
      </c>
      <c r="G53" s="81">
        <f>Лист1!G61</f>
        <v>109.65</v>
      </c>
      <c r="H53" s="82">
        <f>Лист1!H61</f>
        <v>0</v>
      </c>
    </row>
    <row r="54" spans="1:8" ht="26.25">
      <c r="A54" s="18" t="s">
        <v>2169</v>
      </c>
      <c r="B54" s="54" t="s">
        <v>2173</v>
      </c>
      <c r="C54" s="80">
        <f t="shared" si="1"/>
        <v>8000</v>
      </c>
      <c r="D54" s="81">
        <f>Лист1!D62</f>
        <v>8000</v>
      </c>
      <c r="E54" s="82">
        <f>Лист1!E62</f>
        <v>0</v>
      </c>
      <c r="F54" s="80">
        <f t="shared" si="0"/>
        <v>3595.43</v>
      </c>
      <c r="G54" s="81">
        <f>Лист1!G62</f>
        <v>3595.43</v>
      </c>
      <c r="H54" s="82">
        <f>Лист1!H62</f>
        <v>0</v>
      </c>
    </row>
    <row r="55" spans="1:8" ht="51.75">
      <c r="A55" s="18" t="s">
        <v>694</v>
      </c>
      <c r="B55" s="54" t="s">
        <v>1673</v>
      </c>
      <c r="C55" s="80">
        <f t="shared" si="1"/>
        <v>8008400</v>
      </c>
      <c r="D55" s="81">
        <f>Лист1!D63</f>
        <v>8008400</v>
      </c>
      <c r="E55" s="82">
        <f>Лист1!E63</f>
        <v>0</v>
      </c>
      <c r="F55" s="80">
        <f t="shared" si="0"/>
        <v>1608563.72</v>
      </c>
      <c r="G55" s="81">
        <f>Лист1!G63</f>
        <v>1608563.72</v>
      </c>
      <c r="H55" s="82">
        <f>Лист1!H63</f>
        <v>0</v>
      </c>
    </row>
    <row r="56" spans="1:8" ht="64.5">
      <c r="A56" s="18" t="s">
        <v>2182</v>
      </c>
      <c r="B56" s="29" t="s">
        <v>1328</v>
      </c>
      <c r="C56" s="80">
        <f t="shared" si="1"/>
        <v>0</v>
      </c>
      <c r="D56" s="81">
        <f>Лист1!D64</f>
        <v>0</v>
      </c>
      <c r="E56" s="82">
        <f>Лист1!E64</f>
        <v>0</v>
      </c>
      <c r="F56" s="80">
        <f t="shared" si="0"/>
        <v>0</v>
      </c>
      <c r="G56" s="81">
        <f>Лист1!G64</f>
        <v>0</v>
      </c>
      <c r="H56" s="82">
        <f>Лист1!H64</f>
        <v>0</v>
      </c>
    </row>
    <row r="57" spans="1:8" ht="77.25">
      <c r="A57" s="272" t="s">
        <v>1597</v>
      </c>
      <c r="B57" s="259" t="s">
        <v>2269</v>
      </c>
      <c r="C57" s="80">
        <f t="shared" si="1"/>
        <v>5000</v>
      </c>
      <c r="D57" s="81">
        <f>Лист1!D65</f>
        <v>5000</v>
      </c>
      <c r="E57" s="82">
        <f>Лист1!E65</f>
        <v>0</v>
      </c>
      <c r="F57" s="80">
        <f t="shared" si="0"/>
        <v>-0.08</v>
      </c>
      <c r="G57" s="81">
        <f>Лист1!G65</f>
        <v>-0.08</v>
      </c>
      <c r="H57" s="82">
        <f>Лист1!H65</f>
        <v>0</v>
      </c>
    </row>
    <row r="58" spans="1:8" ht="64.5">
      <c r="A58" s="272" t="s">
        <v>1599</v>
      </c>
      <c r="B58" s="259" t="s">
        <v>2271</v>
      </c>
      <c r="C58" s="80">
        <f t="shared" si="1"/>
        <v>0</v>
      </c>
      <c r="D58" s="81">
        <f>Лист1!D66</f>
        <v>0</v>
      </c>
      <c r="E58" s="82">
        <f>Лист1!E66</f>
        <v>0</v>
      </c>
      <c r="F58" s="80">
        <f t="shared" si="0"/>
        <v>0</v>
      </c>
      <c r="G58" s="81">
        <f>Лист1!G66</f>
        <v>0</v>
      </c>
      <c r="H58" s="82">
        <f>Лист1!H66</f>
        <v>0</v>
      </c>
    </row>
    <row r="59" spans="1:8" ht="64.5">
      <c r="A59" s="272" t="s">
        <v>1600</v>
      </c>
      <c r="B59" s="259" t="s">
        <v>2272</v>
      </c>
      <c r="C59" s="80">
        <f t="shared" si="1"/>
        <v>5000</v>
      </c>
      <c r="D59" s="81">
        <f>Лист1!D67</f>
        <v>5000</v>
      </c>
      <c r="E59" s="82">
        <f>Лист1!E67</f>
        <v>0</v>
      </c>
      <c r="F59" s="80">
        <f t="shared" si="0"/>
        <v>0</v>
      </c>
      <c r="G59" s="81">
        <f>Лист1!G67</f>
        <v>0</v>
      </c>
      <c r="H59" s="82">
        <f>Лист1!H67</f>
        <v>0</v>
      </c>
    </row>
    <row r="60" spans="1:8" ht="64.5">
      <c r="A60" s="273" t="s">
        <v>1692</v>
      </c>
      <c r="B60" s="259" t="s">
        <v>2273</v>
      </c>
      <c r="C60" s="80">
        <f t="shared" si="1"/>
        <v>3000</v>
      </c>
      <c r="D60" s="81">
        <f>Лист1!D68</f>
        <v>3000</v>
      </c>
      <c r="E60" s="82">
        <f>Лист1!E68</f>
        <v>0</v>
      </c>
      <c r="F60" s="80">
        <f t="shared" si="0"/>
        <v>0</v>
      </c>
      <c r="G60" s="81">
        <f>Лист1!G68</f>
        <v>0</v>
      </c>
      <c r="H60" s="82">
        <f>Лист1!H68</f>
        <v>0</v>
      </c>
    </row>
    <row r="61" spans="1:8" ht="16.5">
      <c r="A61" s="273"/>
      <c r="B61" s="603" t="s">
        <v>1287</v>
      </c>
      <c r="C61" s="80">
        <f t="shared" si="1"/>
        <v>0</v>
      </c>
      <c r="D61" s="81">
        <f>Лист1!D69</f>
        <v>0</v>
      </c>
      <c r="E61" s="82">
        <f>Лист1!E70</f>
        <v>0</v>
      </c>
      <c r="F61" s="80">
        <f t="shared" si="0"/>
        <v>0</v>
      </c>
      <c r="G61" s="81">
        <f>Лист1!G69</f>
        <v>0</v>
      </c>
      <c r="H61" s="82">
        <f>Лист1!H70</f>
        <v>0</v>
      </c>
    </row>
    <row r="62" spans="1:8" ht="26.25">
      <c r="A62" s="273" t="s">
        <v>2283</v>
      </c>
      <c r="B62" s="259" t="s">
        <v>1598</v>
      </c>
      <c r="C62" s="80">
        <f t="shared" si="1"/>
        <v>0</v>
      </c>
      <c r="D62" s="81">
        <f>Лист1!D71</f>
        <v>0</v>
      </c>
      <c r="E62" s="82">
        <f>Лист1!E71</f>
        <v>0</v>
      </c>
      <c r="F62" s="80">
        <f t="shared" si="0"/>
        <v>1500</v>
      </c>
      <c r="G62" s="81">
        <f>Лист1!G71</f>
        <v>1500</v>
      </c>
      <c r="H62" s="82">
        <f>Лист1!H71</f>
        <v>0</v>
      </c>
    </row>
    <row r="63" spans="1:8" ht="90">
      <c r="A63" s="272" t="s">
        <v>1607</v>
      </c>
      <c r="B63" s="259" t="s">
        <v>2275</v>
      </c>
      <c r="C63" s="80">
        <f t="shared" si="1"/>
        <v>10000</v>
      </c>
      <c r="D63" s="81">
        <f>Лист1!D72</f>
        <v>10000</v>
      </c>
      <c r="E63" s="82">
        <f>Лист1!E72</f>
        <v>0</v>
      </c>
      <c r="F63" s="80">
        <f t="shared" si="0"/>
        <v>0</v>
      </c>
      <c r="G63" s="81">
        <f>Лист1!G72</f>
        <v>0</v>
      </c>
      <c r="H63" s="82">
        <f>Лист1!H72</f>
        <v>0</v>
      </c>
    </row>
    <row r="64" spans="1:8" ht="26.25">
      <c r="A64" s="272" t="s">
        <v>1608</v>
      </c>
      <c r="B64" s="259" t="s">
        <v>2280</v>
      </c>
      <c r="C64" s="80">
        <f t="shared" si="1"/>
        <v>0</v>
      </c>
      <c r="D64" s="81">
        <f>Лист1!D73</f>
        <v>0</v>
      </c>
      <c r="E64" s="82">
        <f>Лист1!E73</f>
        <v>0</v>
      </c>
      <c r="F64" s="80">
        <f t="shared" si="0"/>
        <v>0</v>
      </c>
      <c r="G64" s="81">
        <f>Лист1!G73</f>
        <v>0</v>
      </c>
      <c r="H64" s="82">
        <f>Лист1!H73</f>
        <v>0</v>
      </c>
    </row>
    <row r="65" spans="1:8" ht="26.25">
      <c r="A65" s="273" t="s">
        <v>2282</v>
      </c>
      <c r="B65" s="259" t="s">
        <v>2281</v>
      </c>
      <c r="C65" s="80">
        <f t="shared" si="1"/>
        <v>0</v>
      </c>
      <c r="D65" s="81">
        <f>Лист1!D74</f>
        <v>0</v>
      </c>
      <c r="E65" s="82">
        <f>Лист1!E74</f>
        <v>0</v>
      </c>
      <c r="F65" s="80">
        <f t="shared" si="0"/>
        <v>0</v>
      </c>
      <c r="G65" s="81">
        <f>Лист1!G74</f>
        <v>0</v>
      </c>
      <c r="H65" s="82">
        <f>Лист1!H74</f>
        <v>0</v>
      </c>
    </row>
    <row r="66" spans="1:8" ht="26.25">
      <c r="A66" s="273" t="s">
        <v>1693</v>
      </c>
      <c r="B66" s="259" t="s">
        <v>2284</v>
      </c>
      <c r="C66" s="80">
        <f t="shared" si="1"/>
        <v>0</v>
      </c>
      <c r="D66" s="81">
        <f>Лист1!D75</f>
        <v>0</v>
      </c>
      <c r="E66" s="82">
        <f>Лист1!E75</f>
        <v>0</v>
      </c>
      <c r="F66" s="80">
        <f t="shared" si="0"/>
        <v>0</v>
      </c>
      <c r="G66" s="81">
        <f>Лист1!G75</f>
        <v>0</v>
      </c>
      <c r="H66" s="82">
        <f>Лист1!H75</f>
        <v>0</v>
      </c>
    </row>
    <row r="67" spans="1:8" ht="64.5">
      <c r="A67" s="272" t="s">
        <v>1609</v>
      </c>
      <c r="B67" s="259" t="s">
        <v>1694</v>
      </c>
      <c r="C67" s="80">
        <f t="shared" si="1"/>
        <v>0</v>
      </c>
      <c r="D67" s="81">
        <f>Лист1!D76</f>
        <v>0</v>
      </c>
      <c r="E67" s="82">
        <f>Лист1!E76</f>
        <v>0</v>
      </c>
      <c r="F67" s="80">
        <f t="shared" si="0"/>
        <v>0</v>
      </c>
      <c r="G67" s="81">
        <f>Лист1!G76</f>
        <v>0</v>
      </c>
      <c r="H67" s="82">
        <f>Лист1!H76</f>
        <v>0</v>
      </c>
    </row>
    <row r="68" spans="1:8" ht="39">
      <c r="A68" s="272" t="s">
        <v>7</v>
      </c>
      <c r="B68" s="259" t="s">
        <v>993</v>
      </c>
      <c r="C68" s="80">
        <f t="shared" si="1"/>
        <v>233000</v>
      </c>
      <c r="D68" s="81">
        <f>Лист1!D77</f>
        <v>233000</v>
      </c>
      <c r="E68" s="82">
        <f>Лист1!E77</f>
        <v>0</v>
      </c>
      <c r="F68" s="80">
        <f t="shared" si="0"/>
        <v>78000</v>
      </c>
      <c r="G68" s="81">
        <f>Лист1!G77</f>
        <v>78000</v>
      </c>
      <c r="H68" s="82">
        <f>Лист1!H77</f>
        <v>0</v>
      </c>
    </row>
    <row r="69" spans="1:8" ht="67.5" customHeight="1">
      <c r="A69" s="272" t="s">
        <v>1664</v>
      </c>
      <c r="B69" s="259" t="s">
        <v>2011</v>
      </c>
      <c r="C69" s="80">
        <f t="shared" si="1"/>
        <v>0</v>
      </c>
      <c r="D69" s="81">
        <f>Лист1!D78</f>
        <v>0</v>
      </c>
      <c r="E69" s="82">
        <f>Лист1!E78</f>
        <v>0</v>
      </c>
      <c r="F69" s="80">
        <f t="shared" si="0"/>
        <v>0</v>
      </c>
      <c r="G69" s="81">
        <f>Лист1!G78</f>
        <v>0</v>
      </c>
      <c r="H69" s="82">
        <f>Лист1!H78</f>
        <v>0</v>
      </c>
    </row>
    <row r="70" spans="1:8" ht="67.5" customHeight="1">
      <c r="A70" s="602" t="s">
        <v>1366</v>
      </c>
      <c r="B70" s="603" t="s">
        <v>1056</v>
      </c>
      <c r="C70" s="80">
        <f t="shared" si="1"/>
        <v>0</v>
      </c>
      <c r="D70" s="81">
        <f>Лист1!D79</f>
        <v>0</v>
      </c>
      <c r="E70" s="82">
        <f>Лист1!E79</f>
        <v>0</v>
      </c>
      <c r="F70" s="80">
        <f t="shared" si="0"/>
        <v>0</v>
      </c>
      <c r="G70" s="81">
        <f>Лист1!G79</f>
        <v>0</v>
      </c>
      <c r="H70" s="82">
        <f>Лист1!H79</f>
        <v>0</v>
      </c>
    </row>
    <row r="71" spans="1:8" ht="67.5" customHeight="1">
      <c r="A71" s="602" t="s">
        <v>1364</v>
      </c>
      <c r="B71" s="603" t="s">
        <v>1363</v>
      </c>
      <c r="C71" s="80">
        <f t="shared" si="1"/>
        <v>0</v>
      </c>
      <c r="D71" s="81"/>
      <c r="E71" s="82"/>
      <c r="F71" s="80">
        <f t="shared" si="0"/>
        <v>0</v>
      </c>
      <c r="G71" s="81">
        <f>Лист1!G81</f>
        <v>0</v>
      </c>
      <c r="H71" s="82"/>
    </row>
    <row r="72" spans="1:8" ht="67.5" customHeight="1">
      <c r="A72" s="1191" t="s">
        <v>1826</v>
      </c>
      <c r="B72" s="603" t="s">
        <v>1015</v>
      </c>
      <c r="C72" s="80">
        <f t="shared" si="1"/>
        <v>0</v>
      </c>
      <c r="D72" s="81">
        <f>Лист1!D80</f>
        <v>0</v>
      </c>
      <c r="E72" s="82"/>
      <c r="F72" s="80">
        <f t="shared" si="0"/>
        <v>0</v>
      </c>
      <c r="G72" s="81">
        <f>Лист1!G80</f>
        <v>0</v>
      </c>
      <c r="H72" s="82"/>
    </row>
    <row r="73" spans="1:8" ht="67.5" customHeight="1">
      <c r="A73" s="1191" t="s">
        <v>1827</v>
      </c>
      <c r="B73" s="603" t="s">
        <v>2010</v>
      </c>
      <c r="C73" s="80">
        <f t="shared" si="1"/>
        <v>0</v>
      </c>
      <c r="D73" s="81"/>
      <c r="E73" s="82">
        <f>Лист1!E81</f>
        <v>0</v>
      </c>
      <c r="F73" s="80">
        <f t="shared" si="0"/>
        <v>0</v>
      </c>
      <c r="G73" s="81"/>
      <c r="H73" s="82">
        <f>Лист1!H81</f>
        <v>0</v>
      </c>
    </row>
    <row r="74" spans="1:8" ht="67.5" customHeight="1">
      <c r="A74" s="931"/>
      <c r="B74" s="603" t="s">
        <v>1057</v>
      </c>
      <c r="C74" s="80">
        <f t="shared" si="1"/>
        <v>11000</v>
      </c>
      <c r="D74" s="81">
        <f>Лист1!D82</f>
        <v>11000</v>
      </c>
      <c r="E74" s="82"/>
      <c r="F74" s="80">
        <f t="shared" si="0"/>
        <v>6000</v>
      </c>
      <c r="G74" s="81">
        <f>Лист1!G82</f>
        <v>6000</v>
      </c>
      <c r="H74" s="82">
        <f>Лист1!H82</f>
        <v>0</v>
      </c>
    </row>
    <row r="75" spans="1:8" ht="39">
      <c r="A75" s="274" t="s">
        <v>250</v>
      </c>
      <c r="B75" s="259" t="s">
        <v>2183</v>
      </c>
      <c r="C75" s="80">
        <f t="shared" si="1"/>
        <v>130000</v>
      </c>
      <c r="D75" s="81">
        <f>Лист1!D83</f>
        <v>130000</v>
      </c>
      <c r="E75" s="82">
        <f>Лист1!E83</f>
        <v>0</v>
      </c>
      <c r="F75" s="80">
        <f t="shared" si="0"/>
        <v>30365.37</v>
      </c>
      <c r="G75" s="81">
        <f>Лист1!G83</f>
        <v>30365.37</v>
      </c>
      <c r="H75" s="82">
        <f>Лист1!H83</f>
        <v>0</v>
      </c>
    </row>
    <row r="76" spans="1:8" ht="39">
      <c r="A76" s="272" t="s">
        <v>8</v>
      </c>
      <c r="B76" s="259" t="s">
        <v>1945</v>
      </c>
      <c r="C76" s="80">
        <f t="shared" si="1"/>
        <v>0</v>
      </c>
      <c r="D76" s="81">
        <f>Лист1!D84</f>
        <v>0</v>
      </c>
      <c r="E76" s="82">
        <f>Лист1!E84</f>
        <v>0</v>
      </c>
      <c r="F76" s="80">
        <f t="shared" si="0"/>
        <v>0</v>
      </c>
      <c r="G76" s="81">
        <f>Лист1!G84</f>
        <v>0</v>
      </c>
      <c r="H76" s="82">
        <f>Лист1!H84</f>
        <v>0</v>
      </c>
    </row>
    <row r="77" spans="1:8" ht="16.5">
      <c r="A77" s="270" t="s">
        <v>46</v>
      </c>
      <c r="B77" s="54" t="s">
        <v>1946</v>
      </c>
      <c r="C77" s="80">
        <f t="shared" si="1"/>
        <v>0</v>
      </c>
      <c r="D77" s="81">
        <f>Лист1!D85</f>
        <v>0</v>
      </c>
      <c r="E77" s="82">
        <f>Лист1!E85</f>
        <v>0</v>
      </c>
      <c r="F77" s="80">
        <f t="shared" si="0"/>
        <v>0</v>
      </c>
      <c r="G77" s="81">
        <f>Лист1!G85</f>
        <v>0</v>
      </c>
      <c r="H77" s="82">
        <f>Лист1!H85</f>
        <v>0</v>
      </c>
    </row>
    <row r="78" spans="1:8" ht="26.25">
      <c r="A78" s="18" t="s">
        <v>9</v>
      </c>
      <c r="B78" s="54" t="s">
        <v>1947</v>
      </c>
      <c r="C78" s="80">
        <f t="shared" si="1"/>
        <v>0</v>
      </c>
      <c r="D78" s="81">
        <f>Лист1!D86</f>
        <v>0</v>
      </c>
      <c r="E78" s="82">
        <f>Лист1!E86</f>
        <v>0</v>
      </c>
      <c r="F78" s="80">
        <f t="shared" si="0"/>
        <v>0</v>
      </c>
      <c r="G78" s="81">
        <f>Лист1!G86</f>
        <v>0</v>
      </c>
      <c r="H78" s="82">
        <f>Лист1!H86</f>
        <v>0</v>
      </c>
    </row>
    <row r="79" spans="1:8" ht="16.5">
      <c r="A79" s="18" t="s">
        <v>2082</v>
      </c>
      <c r="B79" s="54" t="s">
        <v>1588</v>
      </c>
      <c r="C79" s="80">
        <f t="shared" si="1"/>
        <v>220000</v>
      </c>
      <c r="D79" s="81">
        <f>Лист1!D87</f>
        <v>220000</v>
      </c>
      <c r="E79" s="82">
        <f>Лист1!E87</f>
        <v>0</v>
      </c>
      <c r="F79" s="80">
        <f t="shared" si="0"/>
        <v>1906.84</v>
      </c>
      <c r="G79" s="81">
        <f>Лист1!G87</f>
        <v>1906.84</v>
      </c>
      <c r="H79" s="82">
        <f>Лист1!H87</f>
        <v>0</v>
      </c>
    </row>
    <row r="80" spans="1:8" ht="16.5">
      <c r="A80" s="18" t="s">
        <v>2082</v>
      </c>
      <c r="B80" s="54" t="s">
        <v>30</v>
      </c>
      <c r="C80" s="80">
        <f t="shared" si="1"/>
        <v>240000</v>
      </c>
      <c r="D80" s="81">
        <f>Лист1!D88</f>
        <v>0</v>
      </c>
      <c r="E80" s="82">
        <f>Лист1!E88</f>
        <v>240000</v>
      </c>
      <c r="F80" s="80">
        <f t="shared" si="0"/>
        <v>55245</v>
      </c>
      <c r="G80" s="81">
        <f>Лист1!G88</f>
        <v>0</v>
      </c>
      <c r="H80" s="82">
        <f>Лист1!H88</f>
        <v>55245</v>
      </c>
    </row>
    <row r="81" spans="1:8" ht="26.25">
      <c r="A81" s="18" t="s">
        <v>10</v>
      </c>
      <c r="B81" s="54" t="s">
        <v>1948</v>
      </c>
      <c r="C81" s="80">
        <f t="shared" si="1"/>
        <v>0</v>
      </c>
      <c r="D81" s="81">
        <f>Лист1!D89</f>
        <v>0</v>
      </c>
      <c r="E81" s="82">
        <f>Лист1!E89</f>
        <v>0</v>
      </c>
      <c r="F81" s="80">
        <f t="shared" si="0"/>
        <v>0</v>
      </c>
      <c r="G81" s="81">
        <f>Лист1!G89</f>
        <v>0</v>
      </c>
      <c r="H81" s="82">
        <f>Лист1!H89</f>
        <v>0</v>
      </c>
    </row>
    <row r="82" spans="1:8" ht="26.25">
      <c r="A82" s="18" t="s">
        <v>12</v>
      </c>
      <c r="B82" s="54" t="s">
        <v>1354</v>
      </c>
      <c r="C82" s="80">
        <f>D82+E82</f>
        <v>0</v>
      </c>
      <c r="D82" s="81">
        <f>Лист1!D90</f>
        <v>0</v>
      </c>
      <c r="E82" s="82">
        <f>Лист1!E90</f>
        <v>0</v>
      </c>
      <c r="F82" s="80">
        <f t="shared" si="0"/>
        <v>0</v>
      </c>
      <c r="G82" s="81">
        <f>Лист1!G90</f>
        <v>0</v>
      </c>
      <c r="H82" s="82">
        <f>Лист1!H90</f>
        <v>0</v>
      </c>
    </row>
    <row r="83" spans="1:8" ht="16.5">
      <c r="A83" s="348" t="s">
        <v>48</v>
      </c>
      <c r="B83" s="55" t="s">
        <v>47</v>
      </c>
      <c r="C83" s="78">
        <f t="shared" ref="C83:H83" si="2">SUM(C84:C111)</f>
        <v>276876000</v>
      </c>
      <c r="D83" s="83">
        <f t="shared" si="2"/>
        <v>234230600</v>
      </c>
      <c r="E83" s="83">
        <f t="shared" si="2"/>
        <v>52064800</v>
      </c>
      <c r="F83" s="78">
        <f t="shared" si="2"/>
        <v>69324000.950000003</v>
      </c>
      <c r="G83" s="83">
        <f t="shared" si="2"/>
        <v>63694284.020000003</v>
      </c>
      <c r="H83" s="83">
        <f t="shared" si="2"/>
        <v>11233155.029999999</v>
      </c>
    </row>
    <row r="84" spans="1:8" ht="40.5" customHeight="1">
      <c r="A84" s="337" t="s">
        <v>17</v>
      </c>
      <c r="B84" s="187" t="s">
        <v>1355</v>
      </c>
      <c r="C84" s="80">
        <f t="shared" ref="C84:C110" si="3">D84+E84</f>
        <v>59122600</v>
      </c>
      <c r="D84" s="81">
        <f>Лист1!D92</f>
        <v>59122600</v>
      </c>
      <c r="E84" s="82">
        <f>Лист1!E92</f>
        <v>0</v>
      </c>
      <c r="F84" s="80">
        <f t="shared" si="0"/>
        <v>29205000</v>
      </c>
      <c r="G84" s="81">
        <f>Лист1!G92</f>
        <v>29205000</v>
      </c>
      <c r="H84" s="82">
        <f>Лист1!H92</f>
        <v>0</v>
      </c>
    </row>
    <row r="85" spans="1:8" ht="40.5" customHeight="1">
      <c r="A85" s="337" t="s">
        <v>1465</v>
      </c>
      <c r="B85" s="187" t="s">
        <v>752</v>
      </c>
      <c r="C85" s="80">
        <f>D85+E85</f>
        <v>0</v>
      </c>
      <c r="D85" s="81">
        <f>Лист1!D93</f>
        <v>0</v>
      </c>
      <c r="E85" s="82">
        <f>Лист1!E93</f>
        <v>0</v>
      </c>
      <c r="F85" s="80">
        <f>G85+H85</f>
        <v>0</v>
      </c>
      <c r="G85" s="81">
        <f>Лист1!G93</f>
        <v>0</v>
      </c>
      <c r="H85" s="82">
        <f>Лист1!H93</f>
        <v>0</v>
      </c>
    </row>
    <row r="86" spans="1:8" ht="40.5" customHeight="1">
      <c r="A86" s="337" t="s">
        <v>2099</v>
      </c>
      <c r="B86" s="187" t="s">
        <v>1058</v>
      </c>
      <c r="C86" s="80">
        <f>D86+E86</f>
        <v>0</v>
      </c>
      <c r="D86" s="81">
        <f>Лист1!D94</f>
        <v>0</v>
      </c>
      <c r="E86" s="82">
        <f>Лист1!E94</f>
        <v>0</v>
      </c>
      <c r="F86" s="80">
        <f>G86+H86</f>
        <v>0</v>
      </c>
      <c r="G86" s="81">
        <f>Лист1!G94</f>
        <v>0</v>
      </c>
      <c r="H86" s="82">
        <f>Лист1!H94</f>
        <v>0</v>
      </c>
    </row>
    <row r="87" spans="1:8" ht="27" customHeight="1">
      <c r="A87" s="343" t="s">
        <v>1519</v>
      </c>
      <c r="B87" s="344" t="s">
        <v>1356</v>
      </c>
      <c r="C87" s="80">
        <f>D87+E87-E116</f>
        <v>45870700</v>
      </c>
      <c r="D87" s="81">
        <f>Лист1!D95</f>
        <v>0</v>
      </c>
      <c r="E87" s="82">
        <f>Лист1!E95</f>
        <v>50609100</v>
      </c>
      <c r="F87" s="80">
        <f>G87+H87-H116</f>
        <v>6387600</v>
      </c>
      <c r="G87" s="81">
        <f>Лист1!G95</f>
        <v>0</v>
      </c>
      <c r="H87" s="82">
        <f>Лист1!H95</f>
        <v>11126000</v>
      </c>
    </row>
    <row r="88" spans="1:8" ht="27" customHeight="1">
      <c r="A88" s="343" t="s">
        <v>1604</v>
      </c>
      <c r="B88" s="344" t="s">
        <v>1059</v>
      </c>
      <c r="C88" s="80">
        <f>D88+E88</f>
        <v>0</v>
      </c>
      <c r="D88" s="81">
        <f>Лист1!D96</f>
        <v>0</v>
      </c>
      <c r="E88" s="82">
        <f>Лист1!E96</f>
        <v>0</v>
      </c>
      <c r="F88" s="80">
        <f>G88+H88</f>
        <v>0</v>
      </c>
      <c r="G88" s="81">
        <f>Лист1!G96</f>
        <v>0</v>
      </c>
      <c r="H88" s="82">
        <f>Лист1!H96</f>
        <v>0</v>
      </c>
    </row>
    <row r="89" spans="1:8" ht="27" customHeight="1">
      <c r="A89" s="343" t="s">
        <v>935</v>
      </c>
      <c r="B89" s="344" t="s">
        <v>1060</v>
      </c>
      <c r="C89" s="80">
        <f>D89+E89</f>
        <v>0</v>
      </c>
      <c r="D89" s="81">
        <f>Лист1!D97</f>
        <v>0</v>
      </c>
      <c r="E89" s="82">
        <f>Лист1!E97</f>
        <v>0</v>
      </c>
      <c r="F89" s="80">
        <f>G89+H89</f>
        <v>0</v>
      </c>
      <c r="G89" s="81">
        <f>Лист1!G97</f>
        <v>0</v>
      </c>
      <c r="H89" s="82">
        <f>Лист1!H97</f>
        <v>0</v>
      </c>
    </row>
    <row r="90" spans="1:8" ht="63.75">
      <c r="A90" s="337" t="s">
        <v>1522</v>
      </c>
      <c r="B90" s="187" t="s">
        <v>1061</v>
      </c>
      <c r="C90" s="80">
        <f t="shared" si="3"/>
        <v>0</v>
      </c>
      <c r="D90" s="81">
        <f>Лист1!D98</f>
        <v>0</v>
      </c>
      <c r="E90" s="82">
        <f>Лист1!E98</f>
        <v>0</v>
      </c>
      <c r="F90" s="80">
        <f t="shared" si="0"/>
        <v>0</v>
      </c>
      <c r="G90" s="81">
        <f>Лист1!G98</f>
        <v>0</v>
      </c>
      <c r="H90" s="82">
        <f>Лист1!H98</f>
        <v>0</v>
      </c>
    </row>
    <row r="91" spans="1:8" ht="33" customHeight="1">
      <c r="A91" s="337" t="s">
        <v>1720</v>
      </c>
      <c r="B91" s="187" t="s">
        <v>1062</v>
      </c>
      <c r="C91" s="80">
        <f>D91</f>
        <v>0</v>
      </c>
      <c r="D91" s="81">
        <f>Лист1!D99</f>
        <v>0</v>
      </c>
      <c r="E91" s="82">
        <f>Лист1!E99</f>
        <v>0</v>
      </c>
      <c r="F91" s="80">
        <f>G91</f>
        <v>0</v>
      </c>
      <c r="G91" s="81">
        <f>Лист1!G99</f>
        <v>0</v>
      </c>
      <c r="H91" s="82">
        <f>Лист1!H99</f>
        <v>0</v>
      </c>
    </row>
    <row r="92" spans="1:8" ht="33" customHeight="1">
      <c r="A92" s="337" t="s">
        <v>1720</v>
      </c>
      <c r="B92" s="187" t="s">
        <v>2473</v>
      </c>
      <c r="C92" s="80">
        <f>D92+E92</f>
        <v>0</v>
      </c>
      <c r="D92" s="81">
        <f>Лист1!D100</f>
        <v>0</v>
      </c>
      <c r="E92" s="82">
        <f>Лист1!E100</f>
        <v>0</v>
      </c>
      <c r="F92" s="80">
        <f>G92+H92</f>
        <v>0</v>
      </c>
      <c r="G92" s="81">
        <f>Лист1!G100</f>
        <v>0</v>
      </c>
      <c r="H92" s="82">
        <f>Лист1!H100</f>
        <v>0</v>
      </c>
    </row>
    <row r="93" spans="1:8" ht="42" customHeight="1">
      <c r="A93" s="337" t="s">
        <v>19</v>
      </c>
      <c r="B93" s="188" t="s">
        <v>989</v>
      </c>
      <c r="C93" s="80">
        <f t="shared" si="3"/>
        <v>33626800</v>
      </c>
      <c r="D93" s="81">
        <f>Лист1!D101</f>
        <v>33626800</v>
      </c>
      <c r="E93" s="82">
        <f>Лист1!E101</f>
        <v>0</v>
      </c>
      <c r="F93" s="80">
        <f t="shared" si="0"/>
        <v>2624000</v>
      </c>
      <c r="G93" s="81">
        <f>Лист1!G101</f>
        <v>2624000</v>
      </c>
      <c r="H93" s="82">
        <f>Лист1!H101</f>
        <v>0</v>
      </c>
    </row>
    <row r="94" spans="1:8" ht="34.5" customHeight="1">
      <c r="A94" s="337" t="s">
        <v>2020</v>
      </c>
      <c r="B94" s="188" t="s">
        <v>2080</v>
      </c>
      <c r="C94" s="80">
        <f t="shared" si="3"/>
        <v>813200</v>
      </c>
      <c r="D94" s="81">
        <f>Лист1!D102</f>
        <v>0</v>
      </c>
      <c r="E94" s="82">
        <f>Лист1!E102</f>
        <v>813200</v>
      </c>
      <c r="F94" s="80">
        <f t="shared" si="0"/>
        <v>0</v>
      </c>
      <c r="G94" s="81">
        <f>Лист1!G102</f>
        <v>0</v>
      </c>
      <c r="H94" s="82">
        <f>Лист1!H102</f>
        <v>0</v>
      </c>
    </row>
    <row r="95" spans="1:8" ht="46.5" customHeight="1">
      <c r="A95" s="337" t="s">
        <v>1596</v>
      </c>
      <c r="B95" s="188" t="s">
        <v>1342</v>
      </c>
      <c r="C95" s="80">
        <f>D95+E95</f>
        <v>182600</v>
      </c>
      <c r="D95" s="81">
        <f>Лист1!D103</f>
        <v>182600</v>
      </c>
      <c r="E95" s="82">
        <f>Лист1!E103</f>
        <v>0</v>
      </c>
      <c r="F95" s="80">
        <f>G95+H95:H96</f>
        <v>0</v>
      </c>
      <c r="G95" s="81">
        <f>Лист1!G103</f>
        <v>0</v>
      </c>
      <c r="H95" s="82">
        <f>Лист1!H103</f>
        <v>0</v>
      </c>
    </row>
    <row r="96" spans="1:8" ht="38.25">
      <c r="A96" s="337" t="s">
        <v>1584</v>
      </c>
      <c r="B96" s="188" t="s">
        <v>2081</v>
      </c>
      <c r="C96" s="80">
        <f t="shared" si="3"/>
        <v>639000</v>
      </c>
      <c r="D96" s="81">
        <f>Лист1!D104</f>
        <v>0</v>
      </c>
      <c r="E96" s="82">
        <f>Лист1!E104</f>
        <v>639000</v>
      </c>
      <c r="F96" s="80">
        <f t="shared" si="0"/>
        <v>107155.02999999998</v>
      </c>
      <c r="G96" s="81">
        <f>Лист1!G104</f>
        <v>0</v>
      </c>
      <c r="H96" s="82">
        <f>Лист1!H104</f>
        <v>107155.02999999998</v>
      </c>
    </row>
    <row r="97" spans="1:8" ht="38.25">
      <c r="A97" s="337" t="s">
        <v>2061</v>
      </c>
      <c r="B97" s="188" t="s">
        <v>991</v>
      </c>
      <c r="C97" s="80">
        <f t="shared" si="3"/>
        <v>0</v>
      </c>
      <c r="D97" s="81">
        <f>Лист1!D105</f>
        <v>0</v>
      </c>
      <c r="E97" s="82">
        <f>Лист1!E105</f>
        <v>0</v>
      </c>
      <c r="F97" s="80">
        <f t="shared" si="0"/>
        <v>0</v>
      </c>
      <c r="G97" s="81">
        <f>Лист1!G105</f>
        <v>0</v>
      </c>
      <c r="H97" s="82">
        <f>Лист1!H105</f>
        <v>0</v>
      </c>
    </row>
    <row r="98" spans="1:8" ht="69.75" customHeight="1">
      <c r="A98" s="337" t="s">
        <v>2062</v>
      </c>
      <c r="B98" s="188" t="s">
        <v>992</v>
      </c>
      <c r="C98" s="80">
        <f t="shared" si="3"/>
        <v>10500100</v>
      </c>
      <c r="D98" s="81">
        <f>Лист1!D106</f>
        <v>10500100</v>
      </c>
      <c r="E98" s="82">
        <f>Лист1!E106</f>
        <v>0</v>
      </c>
      <c r="F98" s="80">
        <f t="shared" si="0"/>
        <v>4203044.22</v>
      </c>
      <c r="G98" s="81">
        <f>Лист1!G106</f>
        <v>4203044.22</v>
      </c>
      <c r="H98" s="82">
        <f>Лист1!H106</f>
        <v>0</v>
      </c>
    </row>
    <row r="99" spans="1:8" ht="46.5" customHeight="1">
      <c r="A99" s="337" t="s">
        <v>16</v>
      </c>
      <c r="B99" s="188" t="s">
        <v>994</v>
      </c>
      <c r="C99" s="80">
        <f t="shared" si="3"/>
        <v>5553400</v>
      </c>
      <c r="D99" s="81">
        <f>Лист1!D107</f>
        <v>5553400</v>
      </c>
      <c r="E99" s="82">
        <f>Лист1!E107</f>
        <v>0</v>
      </c>
      <c r="F99" s="80">
        <f t="shared" si="0"/>
        <v>1178901.7</v>
      </c>
      <c r="G99" s="81">
        <f>Лист1!G107</f>
        <v>1178901.7</v>
      </c>
      <c r="H99" s="82">
        <f>Лист1!H107</f>
        <v>0</v>
      </c>
    </row>
    <row r="100" spans="1:8" ht="46.5" customHeight="1">
      <c r="A100" s="337" t="s">
        <v>120</v>
      </c>
      <c r="B100" s="188" t="s">
        <v>119</v>
      </c>
      <c r="C100" s="80">
        <f>D100+E100</f>
        <v>3500</v>
      </c>
      <c r="D100" s="81">
        <f>Лист1!D108</f>
        <v>0</v>
      </c>
      <c r="E100" s="82">
        <f>Лист1!E108</f>
        <v>3500</v>
      </c>
      <c r="F100" s="80">
        <f>G100+H100</f>
        <v>0</v>
      </c>
      <c r="G100" s="81">
        <f>Лист1!G108</f>
        <v>0</v>
      </c>
      <c r="H100" s="82">
        <f>Лист1!H108</f>
        <v>0</v>
      </c>
    </row>
    <row r="101" spans="1:8" ht="81" customHeight="1">
      <c r="A101" s="337" t="s">
        <v>1595</v>
      </c>
      <c r="B101" s="188" t="s">
        <v>1633</v>
      </c>
      <c r="C101" s="80">
        <f>D101+E101</f>
        <v>0</v>
      </c>
      <c r="D101" s="81">
        <f>Лист1!D109</f>
        <v>0</v>
      </c>
      <c r="E101" s="82">
        <f>Лист1!E109</f>
        <v>0</v>
      </c>
      <c r="F101" s="80">
        <f>G101+H101</f>
        <v>0</v>
      </c>
      <c r="G101" s="81">
        <f>Лист1!G109</f>
        <v>0</v>
      </c>
      <c r="H101" s="82">
        <f>Лист1!H109</f>
        <v>0</v>
      </c>
    </row>
    <row r="102" spans="1:8" ht="46.5" customHeight="1">
      <c r="A102" s="337" t="s">
        <v>874</v>
      </c>
      <c r="B102" s="188" t="s">
        <v>1063</v>
      </c>
      <c r="C102" s="80">
        <f>D102+E102</f>
        <v>8400</v>
      </c>
      <c r="D102" s="81">
        <f>Лист1!D110</f>
        <v>8400</v>
      </c>
      <c r="E102" s="82">
        <f>Лист1!E110</f>
        <v>0</v>
      </c>
      <c r="F102" s="80">
        <f>G102+H102</f>
        <v>0</v>
      </c>
      <c r="G102" s="81">
        <f>Лист1!G110</f>
        <v>0</v>
      </c>
      <c r="H102" s="82">
        <f>Лист1!H110</f>
        <v>0</v>
      </c>
    </row>
    <row r="103" spans="1:8" ht="46.5" customHeight="1">
      <c r="A103" s="343" t="s">
        <v>935</v>
      </c>
      <c r="B103" s="188" t="s">
        <v>11</v>
      </c>
      <c r="C103" s="80">
        <f>D103+E103</f>
        <v>0</v>
      </c>
      <c r="D103" s="81">
        <f>Лист1!D111</f>
        <v>0</v>
      </c>
      <c r="E103" s="82">
        <f>Лист1!E111</f>
        <v>0</v>
      </c>
      <c r="F103" s="80">
        <f>G103+H103</f>
        <v>0</v>
      </c>
      <c r="G103" s="81">
        <f>Лист1!G111</f>
        <v>0</v>
      </c>
      <c r="H103" s="82">
        <f>Лист1!H111</f>
        <v>0</v>
      </c>
    </row>
    <row r="104" spans="1:8" ht="46.5" customHeight="1">
      <c r="A104" s="343" t="s">
        <v>1602</v>
      </c>
      <c r="B104" s="188" t="s">
        <v>1064</v>
      </c>
      <c r="C104" s="80">
        <f>D104+E104</f>
        <v>0</v>
      </c>
      <c r="D104" s="81">
        <f>Лист1!D112</f>
        <v>0</v>
      </c>
      <c r="E104" s="82">
        <f>Лист1!E112</f>
        <v>0</v>
      </c>
      <c r="F104" s="80">
        <f>G104+H104</f>
        <v>0</v>
      </c>
      <c r="G104" s="81">
        <f>Лист1!G112</f>
        <v>0</v>
      </c>
      <c r="H104" s="82">
        <f>Лист1!H112</f>
        <v>0</v>
      </c>
    </row>
    <row r="105" spans="1:8" ht="25.5">
      <c r="A105" s="337" t="s">
        <v>18</v>
      </c>
      <c r="B105" s="188" t="s">
        <v>1357</v>
      </c>
      <c r="C105" s="80">
        <f t="shared" si="3"/>
        <v>120549300</v>
      </c>
      <c r="D105" s="81">
        <f>Лист1!D113</f>
        <v>120549300</v>
      </c>
      <c r="E105" s="82">
        <f>Лист1!E113</f>
        <v>0</v>
      </c>
      <c r="F105" s="80">
        <f t="shared" si="0"/>
        <v>25618300</v>
      </c>
      <c r="G105" s="81">
        <f>Лист1!G113</f>
        <v>25618300</v>
      </c>
      <c r="H105" s="82">
        <f>Лист1!H113</f>
        <v>0</v>
      </c>
    </row>
    <row r="106" spans="1:8" ht="57" customHeight="1">
      <c r="A106" s="343" t="s">
        <v>2074</v>
      </c>
      <c r="B106" s="346" t="s">
        <v>995</v>
      </c>
      <c r="C106" s="80"/>
      <c r="D106" s="81">
        <f>Лист1!D114</f>
        <v>4681000</v>
      </c>
      <c r="E106" s="82">
        <f>Лист1!E114</f>
        <v>0</v>
      </c>
      <c r="F106" s="80"/>
      <c r="G106" s="81">
        <f>Лист1!G114</f>
        <v>865038.1</v>
      </c>
      <c r="H106" s="82">
        <f>Лист1!H114</f>
        <v>0</v>
      </c>
    </row>
    <row r="107" spans="1:8" ht="57" customHeight="1">
      <c r="A107" s="337" t="s">
        <v>1524</v>
      </c>
      <c r="B107" s="187" t="s">
        <v>748</v>
      </c>
      <c r="C107" s="80">
        <f t="shared" si="3"/>
        <v>6400</v>
      </c>
      <c r="D107" s="81">
        <f>Лист1!D115</f>
        <v>6400</v>
      </c>
      <c r="E107" s="82">
        <f>Лист1!E115</f>
        <v>0</v>
      </c>
      <c r="F107" s="80">
        <f t="shared" si="0"/>
        <v>0</v>
      </c>
      <c r="G107" s="81">
        <f>Лист1!G115</f>
        <v>0</v>
      </c>
      <c r="H107" s="82">
        <f>Лист1!H115</f>
        <v>0</v>
      </c>
    </row>
    <row r="108" spans="1:8" ht="57" customHeight="1">
      <c r="A108" s="339" t="s">
        <v>1271</v>
      </c>
      <c r="B108" s="189" t="s">
        <v>1065</v>
      </c>
      <c r="C108" s="80">
        <f t="shared" si="3"/>
        <v>0</v>
      </c>
      <c r="D108" s="81">
        <f>Лист1!D116</f>
        <v>0</v>
      </c>
      <c r="E108" s="82">
        <f>Лист1!E116</f>
        <v>0</v>
      </c>
      <c r="F108" s="80">
        <f t="shared" si="0"/>
        <v>0</v>
      </c>
      <c r="G108" s="81">
        <f>Лист1!G116</f>
        <v>0</v>
      </c>
      <c r="H108" s="82">
        <f>Лист1!H116</f>
        <v>0</v>
      </c>
    </row>
    <row r="109" spans="1:8" ht="57" customHeight="1">
      <c r="A109" s="339" t="s">
        <v>1034</v>
      </c>
      <c r="B109" s="189" t="s">
        <v>1066</v>
      </c>
      <c r="C109" s="80">
        <f t="shared" si="3"/>
        <v>0</v>
      </c>
      <c r="D109" s="81">
        <f>Лист1!D117</f>
        <v>0</v>
      </c>
      <c r="E109" s="82">
        <f>Лист1!E117</f>
        <v>0</v>
      </c>
      <c r="F109" s="80">
        <f t="shared" si="0"/>
        <v>0</v>
      </c>
      <c r="G109" s="81">
        <f>Лист1!G117</f>
        <v>0</v>
      </c>
      <c r="H109" s="82">
        <f>Лист1!H117</f>
        <v>0</v>
      </c>
    </row>
    <row r="110" spans="1:8" ht="16.5">
      <c r="A110" s="562" t="s">
        <v>1657</v>
      </c>
      <c r="B110" s="563" t="s">
        <v>2116</v>
      </c>
      <c r="C110" s="80">
        <f t="shared" si="3"/>
        <v>0</v>
      </c>
      <c r="D110" s="81">
        <f>Лист1!D118</f>
        <v>0</v>
      </c>
      <c r="E110" s="82">
        <f>Лист1!E118</f>
        <v>0</v>
      </c>
      <c r="F110" s="80">
        <f t="shared" si="0"/>
        <v>0</v>
      </c>
      <c r="G110" s="81">
        <f>Лист1!G118</f>
        <v>0</v>
      </c>
      <c r="H110" s="82">
        <f>Лист1!H118</f>
        <v>0</v>
      </c>
    </row>
    <row r="111" spans="1:8" ht="16.5">
      <c r="A111" s="562" t="s">
        <v>1657</v>
      </c>
      <c r="B111" s="563" t="s">
        <v>686</v>
      </c>
      <c r="C111" s="80"/>
      <c r="D111" s="81">
        <f>Лист1!D119</f>
        <v>0</v>
      </c>
      <c r="E111" s="82">
        <f>Лист1!E119</f>
        <v>0</v>
      </c>
      <c r="F111" s="80"/>
      <c r="G111" s="81">
        <f>Лист1!G119</f>
        <v>0</v>
      </c>
      <c r="H111" s="82">
        <f>Лист1!H119</f>
        <v>0</v>
      </c>
    </row>
    <row r="112" spans="1:8" ht="16.5">
      <c r="A112" s="562" t="s">
        <v>218</v>
      </c>
      <c r="B112" s="563"/>
      <c r="C112" s="80">
        <f>D112+E112</f>
        <v>0</v>
      </c>
      <c r="D112" s="81">
        <f>Лист1!D120</f>
        <v>0</v>
      </c>
      <c r="E112" s="82">
        <f>Лист1!E120</f>
        <v>0</v>
      </c>
      <c r="F112" s="80">
        <f>G112+H112</f>
        <v>0</v>
      </c>
      <c r="G112" s="81">
        <f>Лист1!G120</f>
        <v>0</v>
      </c>
      <c r="H112" s="82">
        <f>Лист1!H120</f>
        <v>0</v>
      </c>
    </row>
    <row r="113" spans="1:8" ht="51">
      <c r="A113" s="764" t="s">
        <v>2180</v>
      </c>
      <c r="B113" s="189" t="s">
        <v>1067</v>
      </c>
      <c r="C113" s="80">
        <f>D113+E113</f>
        <v>0</v>
      </c>
      <c r="D113" s="81">
        <f>Лист1!D121</f>
        <v>0</v>
      </c>
      <c r="E113" s="82">
        <f>Лист1!E121</f>
        <v>0</v>
      </c>
      <c r="F113" s="80">
        <f>G113+H113</f>
        <v>-12730</v>
      </c>
      <c r="G113" s="81">
        <f>Лист1!G121</f>
        <v>-12730</v>
      </c>
      <c r="H113" s="82">
        <f>Лист1!H121</f>
        <v>0</v>
      </c>
    </row>
    <row r="114" spans="1:8" ht="39" thickBot="1">
      <c r="A114" s="764" t="s">
        <v>2181</v>
      </c>
      <c r="B114" s="189" t="s">
        <v>222</v>
      </c>
      <c r="C114" s="80">
        <f>D114+E114</f>
        <v>0</v>
      </c>
      <c r="D114" s="81">
        <f>Лист1!D122</f>
        <v>0</v>
      </c>
      <c r="E114" s="82">
        <f>Лист1!E122</f>
        <v>0</v>
      </c>
      <c r="F114" s="191">
        <f>H114</f>
        <v>-2209.56</v>
      </c>
      <c r="G114" s="81">
        <f>Лист1!G122</f>
        <v>0</v>
      </c>
      <c r="H114" s="82">
        <f>Лист1!H122</f>
        <v>-2209.56</v>
      </c>
    </row>
    <row r="115" spans="1:8" ht="16.5">
      <c r="A115" s="340" t="s">
        <v>866</v>
      </c>
      <c r="B115" s="193" t="s">
        <v>49</v>
      </c>
      <c r="C115" s="86">
        <f>C11+C83+C114+C113</f>
        <v>326023500</v>
      </c>
      <c r="D115" s="86">
        <f>D11+D83+D113</f>
        <v>271554200</v>
      </c>
      <c r="E115" s="86">
        <f>E11+E83+E114</f>
        <v>63888700</v>
      </c>
      <c r="F115" s="86">
        <f>F11+F83+F114+F113</f>
        <v>79530485.960000008</v>
      </c>
      <c r="G115" s="86">
        <f>G11+G83+G113</f>
        <v>71439307.350000009</v>
      </c>
      <c r="H115" s="86">
        <f>H11+H83+H114</f>
        <v>13694616.709999999</v>
      </c>
    </row>
    <row r="116" spans="1:8" ht="17.25" thickBot="1">
      <c r="A116" s="341" t="s">
        <v>50</v>
      </c>
      <c r="B116" s="192" t="s">
        <v>867</v>
      </c>
      <c r="C116" s="87">
        <f>D116+E116</f>
        <v>9419400</v>
      </c>
      <c r="D116" s="618">
        <f>D106</f>
        <v>4681000</v>
      </c>
      <c r="E116" s="613">
        <v>4738400</v>
      </c>
      <c r="F116" s="87">
        <f>G116+H116</f>
        <v>5603438.0999999996</v>
      </c>
      <c r="G116" s="618">
        <f>G106</f>
        <v>865038.1</v>
      </c>
      <c r="H116" s="614">
        <v>4738400</v>
      </c>
    </row>
    <row r="117" spans="1:8" ht="17.25" thickBot="1">
      <c r="A117" s="342" t="s">
        <v>52</v>
      </c>
      <c r="B117" s="195" t="s">
        <v>51</v>
      </c>
      <c r="C117" s="196">
        <f t="shared" ref="C117:H117" si="4">C115</f>
        <v>326023500</v>
      </c>
      <c r="D117" s="197">
        <f t="shared" si="4"/>
        <v>271554200</v>
      </c>
      <c r="E117" s="197">
        <f t="shared" si="4"/>
        <v>63888700</v>
      </c>
      <c r="F117" s="196">
        <f t="shared" si="4"/>
        <v>79530485.960000008</v>
      </c>
      <c r="G117" s="197">
        <f t="shared" si="4"/>
        <v>71439307.350000009</v>
      </c>
      <c r="H117" s="198">
        <f t="shared" si="4"/>
        <v>13694616.709999999</v>
      </c>
    </row>
    <row r="118" spans="1:8" ht="17.25" thickBot="1">
      <c r="A118" s="305"/>
      <c r="B118" s="306"/>
      <c r="C118" s="113"/>
      <c r="D118" s="307"/>
      <c r="E118" s="307"/>
      <c r="F118" s="113"/>
      <c r="G118" s="307"/>
      <c r="H118" s="307"/>
    </row>
    <row r="119" spans="1:8" ht="16.5">
      <c r="A119" s="2751" t="s">
        <v>74</v>
      </c>
      <c r="B119" s="2674" t="s">
        <v>216</v>
      </c>
      <c r="C119" s="2676" t="s">
        <v>2043</v>
      </c>
      <c r="D119" s="2677"/>
      <c r="E119" s="2678"/>
      <c r="F119" s="2676" t="s">
        <v>1016</v>
      </c>
      <c r="G119" s="2677"/>
      <c r="H119" s="2679"/>
    </row>
    <row r="120" spans="1:8" ht="66.75" thickBot="1">
      <c r="A120" s="2752"/>
      <c r="B120" s="2675"/>
      <c r="C120" s="315" t="s">
        <v>2075</v>
      </c>
      <c r="D120" s="316" t="s">
        <v>1018</v>
      </c>
      <c r="E120" s="317" t="s">
        <v>1021</v>
      </c>
      <c r="F120" s="315" t="s">
        <v>2075</v>
      </c>
      <c r="G120" s="316" t="s">
        <v>2077</v>
      </c>
      <c r="H120" s="318" t="s">
        <v>1021</v>
      </c>
    </row>
    <row r="121" spans="1:8" ht="17.25" thickBot="1">
      <c r="A121" s="442"/>
      <c r="B121" s="443"/>
      <c r="C121" s="444" t="s">
        <v>840</v>
      </c>
      <c r="D121" s="444">
        <v>9</v>
      </c>
      <c r="E121" s="445">
        <v>10</v>
      </c>
      <c r="F121" s="444" t="s">
        <v>841</v>
      </c>
      <c r="G121" s="444">
        <v>17</v>
      </c>
      <c r="H121" s="446">
        <v>18</v>
      </c>
    </row>
    <row r="122" spans="1:8" ht="17.25" thickBot="1">
      <c r="A122" s="1209" t="s">
        <v>75</v>
      </c>
      <c r="B122" s="1210" t="s">
        <v>76</v>
      </c>
      <c r="C122" s="1211" t="e">
        <f>D122+E122</f>
        <v>#REF!</v>
      </c>
      <c r="D122" s="1212" t="e">
        <f>SUM(D123:D134)</f>
        <v>#REF!</v>
      </c>
      <c r="E122" s="1212" t="e">
        <f>SUM(E123:E134)</f>
        <v>#REF!</v>
      </c>
      <c r="F122" s="1211" t="e">
        <f>G122+H122</f>
        <v>#REF!</v>
      </c>
      <c r="G122" s="1212" t="e">
        <f>SUM(G123:G134)</f>
        <v>#REF!</v>
      </c>
      <c r="H122" s="1212" t="e">
        <f>SUM(H123:H134)</f>
        <v>#REF!</v>
      </c>
    </row>
    <row r="123" spans="1:8" ht="16.5">
      <c r="A123" s="460" t="s">
        <v>77</v>
      </c>
      <c r="B123" s="461" t="s">
        <v>78</v>
      </c>
      <c r="C123" s="1213" t="e">
        <f t="shared" ref="C123:C257" si="5">D123+E123</f>
        <v>#REF!</v>
      </c>
      <c r="D123" s="1203" t="e">
        <f>D136+D153+D184+D187+D195+D240+D242+D252+D268+D285+D288+D302+D313+D316+#REF!+D330+D332</f>
        <v>#REF!</v>
      </c>
      <c r="E123" s="1203" t="e">
        <f>E136+E153+E184+E187+E195+E240+E242+E252+E268+E285+E288+E302+E313+E316+#REF!</f>
        <v>#REF!</v>
      </c>
      <c r="F123" s="1213" t="e">
        <f t="shared" ref="F123:F257" si="6">G123+H123</f>
        <v>#REF!</v>
      </c>
      <c r="G123" s="1203" t="e">
        <f>G136+G153+G184+G187+G195+G240+G242+G252+G268+G285+G288+G302+G313+G316+#REF!+G330+G332</f>
        <v>#REF!</v>
      </c>
      <c r="H123" s="1203" t="e">
        <f>H136+H153+H184+H187+H195+H240+H242+H252+H268+H285+H288+H302+H313+H316+#REF!</f>
        <v>#REF!</v>
      </c>
    </row>
    <row r="124" spans="1:8" ht="16.5">
      <c r="A124" s="272" t="s">
        <v>79</v>
      </c>
      <c r="B124" s="451" t="s">
        <v>80</v>
      </c>
      <c r="C124" s="291" t="e">
        <f t="shared" si="5"/>
        <v>#REF!</v>
      </c>
      <c r="D124" s="1203" t="e">
        <f>D137+D143+D154+#REF!+D196+D253+D270+D289+D303+#REF!+D317</f>
        <v>#REF!</v>
      </c>
      <c r="E124" s="1203" t="e">
        <f>E137+E143+E154+#REF!+E196+E253+E270+E289+E303+#REF!+E317</f>
        <v>#REF!</v>
      </c>
      <c r="F124" s="291" t="e">
        <f t="shared" si="6"/>
        <v>#REF!</v>
      </c>
      <c r="G124" s="1203" t="e">
        <f>G137+G143+G154+#REF!+G196+G253+G270+G289+G303+#REF!+G317</f>
        <v>#REF!</v>
      </c>
      <c r="H124" s="1203" t="e">
        <f>H137+H143+H154+#REF!+H196+H253+H270+H289+H303+#REF!+H317</f>
        <v>#REF!</v>
      </c>
    </row>
    <row r="125" spans="1:8" ht="16.5">
      <c r="A125" s="272" t="s">
        <v>81</v>
      </c>
      <c r="B125" s="451" t="s">
        <v>82</v>
      </c>
      <c r="C125" s="291" t="e">
        <f t="shared" si="5"/>
        <v>#REF!</v>
      </c>
      <c r="D125" s="1203" t="e">
        <f>D138+D155+D185+D188+D197+#REF!+D243+D254+D269+D286+D290+#REF!+#REF!+D318+#REF!+D331+D333</f>
        <v>#REF!</v>
      </c>
      <c r="E125" s="1203" t="e">
        <f>E138+E155+E185+E188+E197+#REF!+E243+E254+E269+E286+E290+#REF!+#REF!+E318+#REF!+E331+E333</f>
        <v>#REF!</v>
      </c>
      <c r="F125" s="291" t="e">
        <f t="shared" si="6"/>
        <v>#REF!</v>
      </c>
      <c r="G125" s="1203" t="e">
        <f>G138+G155+G185+G188+G197+#REF!+G243+G254+G269+G286+G290+#REF!+#REF!+G318+#REF!+G331+G333</f>
        <v>#REF!</v>
      </c>
      <c r="H125" s="1203" t="e">
        <f>H138+H155+H185+H188+H197+#REF!+H243+H254+H269+H286+H290+#REF!+#REF!+H318+#REF!+H331+H333</f>
        <v>#REF!</v>
      </c>
    </row>
    <row r="126" spans="1:8" ht="16.5">
      <c r="A126" s="272" t="s">
        <v>83</v>
      </c>
      <c r="B126" s="451" t="s">
        <v>84</v>
      </c>
      <c r="C126" s="291" t="e">
        <f t="shared" si="5"/>
        <v>#REF!</v>
      </c>
      <c r="D126" s="1203" t="e">
        <f>D156+D157+#REF!+D198+D199+#REF!+D255+D256+D271+D291+D292+D304+D306+#REF!+D319+D320</f>
        <v>#REF!</v>
      </c>
      <c r="E126" s="1203" t="e">
        <f>E156+E157+#REF!+E198+E199+#REF!+E255+E256+E271+E291+E292+E304+E306+#REF!+E319+E320</f>
        <v>#REF!</v>
      </c>
      <c r="F126" s="291" t="e">
        <f t="shared" si="6"/>
        <v>#REF!</v>
      </c>
      <c r="G126" s="1203" t="e">
        <f>G156+G157+#REF!+G198+G199+#REF!+G255+G256+G271+G291+G292+G304+G306+#REF!+G319+G320</f>
        <v>#REF!</v>
      </c>
      <c r="H126" s="1203" t="e">
        <f>H156+H157+#REF!+H198+H199+#REF!+H255+H256+H271+H291+H292+H304+H306+#REF!+H319+H320</f>
        <v>#REF!</v>
      </c>
    </row>
    <row r="127" spans="1:8" ht="16.5">
      <c r="A127" s="272" t="s">
        <v>85</v>
      </c>
      <c r="B127" s="451" t="s">
        <v>86</v>
      </c>
      <c r="C127" s="291" t="e">
        <f t="shared" si="5"/>
        <v>#REF!</v>
      </c>
      <c r="D127" s="1203" t="e">
        <f>D144+D158+D159+#REF!+D200+D257+D277+D293+D307+D321</f>
        <v>#REF!</v>
      </c>
      <c r="E127" s="1203" t="e">
        <f>E144+E158+E159+#REF!+E200+E257+E277+E293+E307+E321</f>
        <v>#REF!</v>
      </c>
      <c r="F127" s="291" t="e">
        <f t="shared" si="6"/>
        <v>#REF!</v>
      </c>
      <c r="G127" s="1203" t="e">
        <f>G144+G158+G159+#REF!+G200+G257+G277+G293+G307+G321</f>
        <v>#REF!</v>
      </c>
      <c r="H127" s="1203" t="e">
        <f>H144+H158+H159+#REF!+H200+H257+H277+H293+H307+H321</f>
        <v>#REF!</v>
      </c>
    </row>
    <row r="128" spans="1:8" ht="16.5">
      <c r="A128" s="272" t="s">
        <v>87</v>
      </c>
      <c r="B128" s="451" t="s">
        <v>88</v>
      </c>
      <c r="C128" s="291" t="e">
        <f t="shared" si="5"/>
        <v>#REF!</v>
      </c>
      <c r="D128" s="1203" t="e">
        <f>D160+#REF!+D201+#REF!+D294+D308+#REF!+D322+#REF!+#REF!</f>
        <v>#REF!</v>
      </c>
      <c r="E128" s="1203" t="e">
        <f>E160+#REF!+E201+#REF!+E294+E308+#REF!+E322+#REF!+#REF!</f>
        <v>#REF!</v>
      </c>
      <c r="F128" s="291" t="e">
        <f t="shared" si="6"/>
        <v>#REF!</v>
      </c>
      <c r="G128" s="1203" t="e">
        <f>G160+#REF!+G201+#REF!+G294+G308+#REF!+G322+#REF!+#REF!</f>
        <v>#REF!</v>
      </c>
      <c r="H128" s="1203" t="e">
        <f>H160+#REF!+H201+#REF!+H294+H308+#REF!+H322+#REF!+#REF!</f>
        <v>#REF!</v>
      </c>
    </row>
    <row r="129" spans="1:9" ht="16.5">
      <c r="A129" s="272" t="s">
        <v>23</v>
      </c>
      <c r="B129" s="451" t="s">
        <v>45</v>
      </c>
      <c r="C129" s="291">
        <f t="shared" si="5"/>
        <v>0</v>
      </c>
      <c r="D129" s="1203">
        <f>D161+D202+D203+D258+D309+D323</f>
        <v>0</v>
      </c>
      <c r="E129" s="1203">
        <f>E161+E202+E203+E258+E309+E323</f>
        <v>0</v>
      </c>
      <c r="F129" s="291">
        <f t="shared" si="6"/>
        <v>0</v>
      </c>
      <c r="G129" s="1203">
        <f>G161+G202+G203+G258+G309+G323</f>
        <v>0</v>
      </c>
      <c r="H129" s="1203">
        <f>H161+H202+H203+H258+H309+H323</f>
        <v>0</v>
      </c>
    </row>
    <row r="130" spans="1:9" ht="16.5">
      <c r="A130" s="272" t="s">
        <v>89</v>
      </c>
      <c r="B130" s="451" t="s">
        <v>90</v>
      </c>
      <c r="C130" s="291" t="e">
        <f t="shared" si="5"/>
        <v>#REF!</v>
      </c>
      <c r="D130" s="1203" t="e">
        <f>D162+D163+D204+D259+D272+D279+D295+#REF!+D324</f>
        <v>#REF!</v>
      </c>
      <c r="E130" s="1203" t="e">
        <f>E162+E163+E204+E259+E272+E279+E295+#REF!+E324</f>
        <v>#REF!</v>
      </c>
      <c r="F130" s="291" t="e">
        <f t="shared" si="6"/>
        <v>#REF!</v>
      </c>
      <c r="G130" s="1203" t="e">
        <f>G162+G163+G204+G259+G272+G279+G295+#REF!+G324</f>
        <v>#REF!</v>
      </c>
      <c r="H130" s="1203" t="e">
        <f>H162+H163+H204+H259+H272+H279+H295+#REF!+H324</f>
        <v>#REF!</v>
      </c>
    </row>
    <row r="131" spans="1:9" ht="16.5">
      <c r="A131" s="272" t="s">
        <v>91</v>
      </c>
      <c r="B131" s="451" t="s">
        <v>92</v>
      </c>
      <c r="C131" s="291" t="e">
        <f t="shared" si="5"/>
        <v>#REF!</v>
      </c>
      <c r="D131" s="1203" t="e">
        <f>D145+D146+D164+D165+#REF!+#REF!+#REF!+D205+D206+#REF!+#REF!+D260+D261+D273+D280+D296+D297+#REF!+#REF!+#REF!+#REF!+D325+D190</f>
        <v>#REF!</v>
      </c>
      <c r="E131" s="1203" t="e">
        <f>E145+E146+E164+E165+#REF!+#REF!+#REF!+E205+E206+#REF!+#REF!+E260+E261+E273+E280+E296+E297+#REF!+#REF!+#REF!+#REF!+E325+E190</f>
        <v>#REF!</v>
      </c>
      <c r="F131" s="291" t="e">
        <f t="shared" si="6"/>
        <v>#REF!</v>
      </c>
      <c r="G131" s="1203" t="e">
        <f>G145+G146+G164+G165+#REF!+#REF!+#REF!+G205+G206+#REF!+#REF!+G260+G261+G273+G280+G296+G297+#REF!+#REF!+#REF!+#REF!+G325+G190</f>
        <v>#REF!</v>
      </c>
      <c r="H131" s="1203" t="e">
        <f>H145+H146+H164+H165+#REF!+#REF!+#REF!+H205+H206+#REF!+#REF!+H260+H261+H273+H280+H296+H297+#REF!+#REF!+#REF!+#REF!+H325+H190</f>
        <v>#REF!</v>
      </c>
    </row>
    <row r="132" spans="1:9" ht="16.5">
      <c r="A132" s="272" t="s">
        <v>95</v>
      </c>
      <c r="B132" s="451" t="s">
        <v>96</v>
      </c>
      <c r="C132" s="291" t="e">
        <f t="shared" si="5"/>
        <v>#REF!</v>
      </c>
      <c r="D132" s="1214" t="e">
        <f>D147+D166+D167+D168+D207+D208+D247+D249+D262+D263+D264+D283+D299+D326+#REF!</f>
        <v>#REF!</v>
      </c>
      <c r="E132" s="1214" t="e">
        <f>E147+E166+E167+E168+E207+E208+E247+E249+E262+E263+E264+E283+E299+E326+#REF!</f>
        <v>#REF!</v>
      </c>
      <c r="F132" s="291" t="e">
        <f t="shared" si="6"/>
        <v>#REF!</v>
      </c>
      <c r="G132" s="1214" t="e">
        <f>G147+G166+G167+G168+G207+G208+G247+G249+G262+G263+G264+G283+G299+G326+#REF!</f>
        <v>#REF!</v>
      </c>
      <c r="H132" s="1214" t="e">
        <f>H147+H166+H167+H168+H207+H208+H247+H249+H262+H263+H264+H283+H299+H326+#REF!</f>
        <v>#REF!</v>
      </c>
    </row>
    <row r="133" spans="1:9" ht="16.5">
      <c r="A133" s="272" t="s">
        <v>97</v>
      </c>
      <c r="B133" s="451" t="s">
        <v>99</v>
      </c>
      <c r="C133" s="291" t="e">
        <f t="shared" si="5"/>
        <v>#REF!</v>
      </c>
      <c r="D133" s="1214" t="e">
        <f>#REF!+#REF!+#REF!+#REF!+#REF!+D265+D266+D281+D300+#REF!+#REF!+D310+#REF!+D327+D274</f>
        <v>#REF!</v>
      </c>
      <c r="E133" s="1214" t="e">
        <f>#REF!+#REF!+#REF!+#REF!+#REF!+E265+E266+E281+E300+#REF!+#REF!+E310+#REF!+E327</f>
        <v>#REF!</v>
      </c>
      <c r="F133" s="291" t="e">
        <f t="shared" si="6"/>
        <v>#REF!</v>
      </c>
      <c r="G133" s="1214" t="e">
        <f>#REF!+#REF!+#REF!+#REF!+#REF!+G265+G266+G281+G300+#REF!+#REF!+G310+#REF!+G327+G274</f>
        <v>#REF!</v>
      </c>
      <c r="H133" s="1214" t="e">
        <f>#REF!+#REF!+#REF!+#REF!+#REF!+H265+H266+H281+H300+#REF!+#REF!+H310+#REF!+H327</f>
        <v>#REF!</v>
      </c>
    </row>
    <row r="134" spans="1:9" ht="17.25" thickBot="1">
      <c r="A134" s="1215" t="s">
        <v>100</v>
      </c>
      <c r="B134" s="1216" t="s">
        <v>101</v>
      </c>
      <c r="C134" s="1213" t="e">
        <f t="shared" si="5"/>
        <v>#REF!</v>
      </c>
      <c r="D134" s="1217" t="e">
        <f>D148+D149+#REF!+#REF!+#REF!+D192+#REF!+#REF!+#REF!+#REF!+#REF!+D282+#REF!+#REF!+#REF!+D311+#REF!+D314+#REF!+D328</f>
        <v>#REF!</v>
      </c>
      <c r="E134" s="1217" t="e">
        <f>E148+E149+#REF!+#REF!+#REF!+E192+#REF!+#REF!+#REF!+#REF!+#REF!+E282+#REF!+#REF!+#REF!+E311+#REF!+E314+#REF!+E328</f>
        <v>#REF!</v>
      </c>
      <c r="F134" s="1213" t="e">
        <f t="shared" si="6"/>
        <v>#REF!</v>
      </c>
      <c r="G134" s="1217" t="e">
        <f>G148+G149+#REF!+#REF!+#REF!+G192+#REF!+#REF!+#REF!+#REF!+#REF!+G282+#REF!+#REF!+#REF!+G311+#REF!+G314+#REF!+G328</f>
        <v>#REF!</v>
      </c>
      <c r="H134" s="1217" t="e">
        <f>H148+H149+#REF!+#REF!+#REF!+H192+#REF!+#REF!+#REF!+#REF!+#REF!+H282+#REF!+#REF!+#REF!+H311+#REF!+H314+#REF!+H328</f>
        <v>#REF!</v>
      </c>
    </row>
    <row r="135" spans="1:9" ht="48" thickBot="1">
      <c r="A135" s="1293" t="s">
        <v>24</v>
      </c>
      <c r="B135" s="1285" t="s">
        <v>102</v>
      </c>
      <c r="C135" s="1280">
        <f t="shared" si="5"/>
        <v>0</v>
      </c>
      <c r="D135" s="1274">
        <f>SUM(D136:D138)</f>
        <v>0</v>
      </c>
      <c r="E135" s="1274">
        <f>SUM(E136:E138)</f>
        <v>0</v>
      </c>
      <c r="F135" s="1280">
        <f t="shared" si="6"/>
        <v>0</v>
      </c>
      <c r="G135" s="1292">
        <f>SUM(G136:G138)</f>
        <v>0</v>
      </c>
      <c r="H135" s="1274">
        <f>SUM(H136:H138)</f>
        <v>0</v>
      </c>
      <c r="I135" s="10"/>
    </row>
    <row r="136" spans="1:9" ht="16.5">
      <c r="A136" s="17" t="s">
        <v>77</v>
      </c>
      <c r="B136" s="34" t="s">
        <v>1351</v>
      </c>
      <c r="C136" s="113">
        <f t="shared" si="5"/>
        <v>0</v>
      </c>
      <c r="D136" s="96"/>
      <c r="E136" s="1397"/>
      <c r="F136" s="113">
        <f t="shared" si="6"/>
        <v>0</v>
      </c>
      <c r="G136" s="109"/>
      <c r="H136" s="1399"/>
    </row>
    <row r="137" spans="1:9" ht="16.5">
      <c r="A137" s="18" t="s">
        <v>79</v>
      </c>
      <c r="B137" s="34" t="s">
        <v>915</v>
      </c>
      <c r="C137" s="98">
        <f t="shared" si="5"/>
        <v>0</v>
      </c>
      <c r="D137" s="99"/>
      <c r="E137" s="1397"/>
      <c r="F137" s="98">
        <f t="shared" si="6"/>
        <v>0</v>
      </c>
      <c r="G137" s="111"/>
      <c r="H137" s="1400"/>
    </row>
    <row r="138" spans="1:9" ht="17.25" thickBot="1">
      <c r="A138" s="19" t="s">
        <v>81</v>
      </c>
      <c r="B138" s="36" t="s">
        <v>1352</v>
      </c>
      <c r="C138" s="113">
        <f t="shared" si="5"/>
        <v>0</v>
      </c>
      <c r="D138" s="102"/>
      <c r="E138" s="1398"/>
      <c r="F138" s="113">
        <f t="shared" si="6"/>
        <v>0</v>
      </c>
      <c r="G138" s="115"/>
      <c r="H138" s="1377"/>
    </row>
    <row r="139" spans="1:9" ht="17.25" thickBot="1">
      <c r="A139" s="740"/>
      <c r="B139" s="424" t="s">
        <v>2877</v>
      </c>
      <c r="C139" s="150">
        <f>D139+E139</f>
        <v>0</v>
      </c>
      <c r="D139" s="117">
        <f>D140+D141</f>
        <v>0</v>
      </c>
      <c r="E139" s="553">
        <f>E140+E141</f>
        <v>0</v>
      </c>
      <c r="F139" s="150">
        <f>G139+H139</f>
        <v>0</v>
      </c>
      <c r="G139" s="119">
        <f>G140+G141</f>
        <v>0</v>
      </c>
      <c r="H139" s="1794">
        <f>H140+H141</f>
        <v>0</v>
      </c>
    </row>
    <row r="140" spans="1:9" ht="16.5">
      <c r="A140" s="17" t="s">
        <v>77</v>
      </c>
      <c r="B140" s="34" t="s">
        <v>2878</v>
      </c>
      <c r="C140" s="151">
        <f>D140+E140</f>
        <v>0</v>
      </c>
      <c r="D140" s="96"/>
      <c r="E140" s="1397"/>
      <c r="F140" s="151">
        <f>G140+H140</f>
        <v>0</v>
      </c>
      <c r="G140" s="109"/>
      <c r="H140" s="1399"/>
    </row>
    <row r="141" spans="1:9" ht="17.25" thickBot="1">
      <c r="A141" s="19" t="s">
        <v>81</v>
      </c>
      <c r="B141" s="36" t="s">
        <v>2879</v>
      </c>
      <c r="C141" s="149">
        <f>D141+E141</f>
        <v>0</v>
      </c>
      <c r="D141" s="102"/>
      <c r="E141" s="1376"/>
      <c r="F141" s="149">
        <f>G141+H141</f>
        <v>0</v>
      </c>
      <c r="G141" s="115"/>
      <c r="H141" s="1377"/>
    </row>
    <row r="142" spans="1:9" ht="79.5" thickBot="1">
      <c r="A142" s="1796" t="s">
        <v>33</v>
      </c>
      <c r="B142" s="1291" t="s">
        <v>34</v>
      </c>
      <c r="C142" s="1208">
        <f t="shared" si="5"/>
        <v>0</v>
      </c>
      <c r="D142" s="1274">
        <f>SUM(D143:D149)</f>
        <v>0</v>
      </c>
      <c r="E142" s="1270">
        <f>SUM(E144:E149)</f>
        <v>0</v>
      </c>
      <c r="F142" s="1208">
        <f t="shared" si="6"/>
        <v>0</v>
      </c>
      <c r="G142" s="1292">
        <f>SUM(G143:G149)</f>
        <v>0</v>
      </c>
      <c r="H142" s="1275">
        <f>SUM(H144:H149)</f>
        <v>0</v>
      </c>
    </row>
    <row r="143" spans="1:9" ht="16.5">
      <c r="A143" s="17" t="s">
        <v>79</v>
      </c>
      <c r="B143" s="736" t="s">
        <v>1353</v>
      </c>
      <c r="C143" s="151">
        <f t="shared" si="5"/>
        <v>0</v>
      </c>
      <c r="D143" s="544"/>
      <c r="E143" s="1397"/>
      <c r="F143" s="151">
        <f t="shared" si="6"/>
        <v>0</v>
      </c>
      <c r="G143" s="737"/>
      <c r="H143" s="1397"/>
    </row>
    <row r="144" spans="1:9" ht="16.5">
      <c r="A144" s="18" t="s">
        <v>91</v>
      </c>
      <c r="B144" s="34" t="s">
        <v>2026</v>
      </c>
      <c r="C144" s="151">
        <f t="shared" si="5"/>
        <v>0</v>
      </c>
      <c r="D144" s="544"/>
      <c r="E144" s="1397"/>
      <c r="F144" s="98">
        <f t="shared" si="6"/>
        <v>0</v>
      </c>
      <c r="G144" s="737"/>
      <c r="H144" s="1399"/>
    </row>
    <row r="145" spans="1:8" ht="16.5">
      <c r="A145" s="1795" t="s">
        <v>100</v>
      </c>
      <c r="B145" s="34" t="s">
        <v>1375</v>
      </c>
      <c r="C145" s="151">
        <f t="shared" si="5"/>
        <v>0</v>
      </c>
      <c r="D145" s="544"/>
      <c r="E145" s="1397"/>
      <c r="F145" s="98">
        <f t="shared" si="6"/>
        <v>0</v>
      </c>
      <c r="G145" s="737"/>
      <c r="H145" s="1399"/>
    </row>
    <row r="146" spans="1:8" ht="16.5">
      <c r="A146" s="1109" t="s">
        <v>85</v>
      </c>
      <c r="B146" s="31" t="s">
        <v>2025</v>
      </c>
      <c r="C146" s="98">
        <f t="shared" si="5"/>
        <v>0</v>
      </c>
      <c r="D146" s="544"/>
      <c r="E146" s="1396"/>
      <c r="F146" s="98">
        <f t="shared" si="6"/>
        <v>0</v>
      </c>
      <c r="G146" s="167"/>
      <c r="H146" s="1396"/>
    </row>
    <row r="147" spans="1:8" ht="16.5">
      <c r="A147" s="18" t="s">
        <v>91</v>
      </c>
      <c r="B147" s="31" t="s">
        <v>2027</v>
      </c>
      <c r="C147" s="98">
        <f t="shared" si="5"/>
        <v>0</v>
      </c>
      <c r="D147" s="544"/>
      <c r="E147" s="1396"/>
      <c r="F147" s="98">
        <f t="shared" si="6"/>
        <v>0</v>
      </c>
      <c r="G147" s="167"/>
      <c r="H147" s="1396"/>
    </row>
    <row r="148" spans="1:8" ht="16.5">
      <c r="A148" s="18" t="s">
        <v>95</v>
      </c>
      <c r="B148" s="31" t="s">
        <v>2028</v>
      </c>
      <c r="C148" s="98">
        <f t="shared" si="5"/>
        <v>0</v>
      </c>
      <c r="D148" s="544"/>
      <c r="E148" s="1396"/>
      <c r="F148" s="98">
        <f t="shared" si="6"/>
        <v>0</v>
      </c>
      <c r="G148" s="167"/>
      <c r="H148" s="1396"/>
    </row>
    <row r="149" spans="1:8" ht="16.5">
      <c r="A149" s="1795" t="s">
        <v>100</v>
      </c>
      <c r="B149" s="32" t="s">
        <v>2029</v>
      </c>
      <c r="C149" s="98">
        <f t="shared" si="5"/>
        <v>0</v>
      </c>
      <c r="D149" s="648"/>
      <c r="E149" s="1396"/>
      <c r="F149" s="98">
        <f t="shared" si="6"/>
        <v>0</v>
      </c>
      <c r="G149" s="111"/>
      <c r="H149" s="1400"/>
    </row>
    <row r="150" spans="1:8" ht="17.25" thickBot="1">
      <c r="A150" s="18" t="s">
        <v>95</v>
      </c>
      <c r="B150" s="32" t="s">
        <v>2880</v>
      </c>
      <c r="C150" s="113">
        <f>D150+E150</f>
        <v>0</v>
      </c>
      <c r="D150" s="130"/>
      <c r="E150" s="1398"/>
      <c r="F150" s="113">
        <f>G150+H150</f>
        <v>0</v>
      </c>
      <c r="G150" s="122"/>
      <c r="H150" s="1402"/>
    </row>
    <row r="151" spans="1:8" ht="79.5" thickBot="1">
      <c r="A151" s="1244" t="s">
        <v>103</v>
      </c>
      <c r="B151" s="513" t="s">
        <v>104</v>
      </c>
      <c r="C151" s="1211">
        <f t="shared" si="5"/>
        <v>0</v>
      </c>
      <c r="D151" s="1235">
        <f>D152+D183+D186+D189+D191</f>
        <v>0</v>
      </c>
      <c r="E151" s="1235">
        <f>E152+E183+E186+E189+E191</f>
        <v>0</v>
      </c>
      <c r="F151" s="1211">
        <f t="shared" si="6"/>
        <v>0</v>
      </c>
      <c r="G151" s="1235">
        <f>G152+G183+G186+G189+G191</f>
        <v>0</v>
      </c>
      <c r="H151" s="1235">
        <f>H152+H183+H186+H189+H191</f>
        <v>0</v>
      </c>
    </row>
    <row r="152" spans="1:8" ht="17.25" thickBot="1">
      <c r="A152" s="1289"/>
      <c r="B152" s="1285" t="s">
        <v>564</v>
      </c>
      <c r="C152" s="1280">
        <f>D152+E152</f>
        <v>0</v>
      </c>
      <c r="D152" s="1274">
        <f>SUM(D153:D168)</f>
        <v>0</v>
      </c>
      <c r="E152" s="1274">
        <f>SUM(E153:E168)</f>
        <v>0</v>
      </c>
      <c r="F152" s="1280">
        <f>G152+H152</f>
        <v>0</v>
      </c>
      <c r="G152" s="1274">
        <f>SUM(G153:G168)</f>
        <v>0</v>
      </c>
      <c r="H152" s="1274">
        <f>SUM(H153:H168)</f>
        <v>0</v>
      </c>
    </row>
    <row r="153" spans="1:8" ht="16.5">
      <c r="A153" s="17" t="s">
        <v>77</v>
      </c>
      <c r="B153" s="34" t="s">
        <v>2030</v>
      </c>
      <c r="C153" s="113">
        <f t="shared" si="5"/>
        <v>0</v>
      </c>
      <c r="D153" s="96"/>
      <c r="E153" s="1397"/>
      <c r="F153" s="113">
        <f t="shared" si="6"/>
        <v>0</v>
      </c>
      <c r="G153" s="109"/>
      <c r="H153" s="1399"/>
    </row>
    <row r="154" spans="1:8" ht="16.5">
      <c r="A154" s="18" t="s">
        <v>81</v>
      </c>
      <c r="B154" s="34" t="s">
        <v>917</v>
      </c>
      <c r="C154" s="98">
        <f t="shared" si="5"/>
        <v>0</v>
      </c>
      <c r="D154" s="96"/>
      <c r="E154" s="1397"/>
      <c r="F154" s="98">
        <f t="shared" si="6"/>
        <v>0</v>
      </c>
      <c r="G154" s="111"/>
      <c r="H154" s="1400"/>
    </row>
    <row r="155" spans="1:8" ht="16.5">
      <c r="A155" s="18" t="s">
        <v>79</v>
      </c>
      <c r="B155" s="34" t="s">
        <v>916</v>
      </c>
      <c r="C155" s="98">
        <f t="shared" si="5"/>
        <v>0</v>
      </c>
      <c r="D155" s="96"/>
      <c r="E155" s="1397"/>
      <c r="F155" s="98">
        <f t="shared" si="6"/>
        <v>0</v>
      </c>
      <c r="G155" s="111"/>
      <c r="H155" s="1400"/>
    </row>
    <row r="156" spans="1:8" ht="16.5">
      <c r="A156" s="18" t="s">
        <v>83</v>
      </c>
      <c r="B156" s="34" t="s">
        <v>1294</v>
      </c>
      <c r="C156" s="98">
        <f>D156+E156</f>
        <v>0</v>
      </c>
      <c r="D156" s="96"/>
      <c r="E156" s="1397"/>
      <c r="F156" s="98">
        <f t="shared" si="6"/>
        <v>0</v>
      </c>
      <c r="G156" s="111"/>
      <c r="H156" s="1400"/>
    </row>
    <row r="157" spans="1:8" ht="16.5">
      <c r="A157" s="18" t="s">
        <v>2882</v>
      </c>
      <c r="B157" s="34" t="s">
        <v>1302</v>
      </c>
      <c r="C157" s="98">
        <f t="shared" ref="C157:C168" si="7">D157+E157</f>
        <v>0</v>
      </c>
      <c r="D157" s="96"/>
      <c r="E157" s="1397"/>
      <c r="F157" s="98">
        <f t="shared" si="6"/>
        <v>0</v>
      </c>
      <c r="G157" s="111"/>
      <c r="H157" s="1400"/>
    </row>
    <row r="158" spans="1:8" ht="16.5">
      <c r="A158" s="1797" t="s">
        <v>97</v>
      </c>
      <c r="B158" s="34" t="s">
        <v>1303</v>
      </c>
      <c r="C158" s="98">
        <f t="shared" si="7"/>
        <v>0</v>
      </c>
      <c r="D158" s="96"/>
      <c r="E158" s="1397"/>
      <c r="F158" s="98">
        <f t="shared" si="6"/>
        <v>0</v>
      </c>
      <c r="G158" s="111"/>
      <c r="H158" s="1400"/>
    </row>
    <row r="159" spans="1:8" ht="16.5">
      <c r="A159" s="1798" t="s">
        <v>100</v>
      </c>
      <c r="B159" s="34" t="s">
        <v>2881</v>
      </c>
      <c r="C159" s="98">
        <f t="shared" si="7"/>
        <v>0</v>
      </c>
      <c r="D159" s="96"/>
      <c r="E159" s="1397"/>
      <c r="F159" s="98">
        <f t="shared" si="6"/>
        <v>0</v>
      </c>
      <c r="G159" s="111"/>
      <c r="H159" s="1400"/>
    </row>
    <row r="160" spans="1:8" ht="16.5">
      <c r="A160" s="18" t="s">
        <v>83</v>
      </c>
      <c r="B160" s="34" t="s">
        <v>1301</v>
      </c>
      <c r="C160" s="98">
        <f>D160+E160</f>
        <v>0</v>
      </c>
      <c r="D160" s="96"/>
      <c r="E160" s="1397"/>
      <c r="F160" s="98">
        <f>G160+H160</f>
        <v>0</v>
      </c>
      <c r="G160" s="111"/>
      <c r="H160" s="1400"/>
    </row>
    <row r="161" spans="1:8" ht="16.5">
      <c r="A161" s="1109" t="s">
        <v>85</v>
      </c>
      <c r="B161" s="34" t="s">
        <v>918</v>
      </c>
      <c r="C161" s="98">
        <f t="shared" si="7"/>
        <v>0</v>
      </c>
      <c r="D161" s="96"/>
      <c r="E161" s="1397"/>
      <c r="F161" s="98">
        <f t="shared" si="6"/>
        <v>0</v>
      </c>
      <c r="G161" s="111"/>
      <c r="H161" s="1400"/>
    </row>
    <row r="162" spans="1:8" ht="16.5">
      <c r="A162" s="18" t="s">
        <v>87</v>
      </c>
      <c r="B162" s="34" t="s">
        <v>900</v>
      </c>
      <c r="C162" s="98">
        <f>D162+E162</f>
        <v>0</v>
      </c>
      <c r="D162" s="96"/>
      <c r="E162" s="1397"/>
      <c r="F162" s="98">
        <f>G162+H162</f>
        <v>0</v>
      </c>
      <c r="G162" s="111"/>
      <c r="H162" s="1400"/>
    </row>
    <row r="163" spans="1:8" ht="16.5">
      <c r="A163" s="18" t="s">
        <v>89</v>
      </c>
      <c r="B163" s="34" t="s">
        <v>1296</v>
      </c>
      <c r="C163" s="98">
        <f t="shared" si="7"/>
        <v>0</v>
      </c>
      <c r="D163" s="96"/>
      <c r="E163" s="1397"/>
      <c r="F163" s="98">
        <f t="shared" si="6"/>
        <v>0</v>
      </c>
      <c r="G163" s="111"/>
      <c r="H163" s="1400"/>
    </row>
    <row r="164" spans="1:8" ht="16.5">
      <c r="A164" s="18" t="s">
        <v>91</v>
      </c>
      <c r="B164" s="34" t="s">
        <v>1297</v>
      </c>
      <c r="C164" s="98">
        <f>D164+E164</f>
        <v>0</v>
      </c>
      <c r="D164" s="96"/>
      <c r="E164" s="1397"/>
      <c r="F164" s="98">
        <f>G164+H164</f>
        <v>0</v>
      </c>
      <c r="G164" s="111"/>
      <c r="H164" s="1400"/>
    </row>
    <row r="165" spans="1:8" ht="16.5">
      <c r="A165" s="18" t="s">
        <v>95</v>
      </c>
      <c r="B165" s="34" t="s">
        <v>1298</v>
      </c>
      <c r="C165" s="98">
        <f t="shared" si="7"/>
        <v>0</v>
      </c>
      <c r="D165" s="96"/>
      <c r="E165" s="1397"/>
      <c r="F165" s="98">
        <f t="shared" si="6"/>
        <v>0</v>
      </c>
      <c r="G165" s="111"/>
      <c r="H165" s="1400"/>
    </row>
    <row r="166" spans="1:8" ht="16.5">
      <c r="A166" s="1797" t="s">
        <v>97</v>
      </c>
      <c r="B166" s="31" t="s">
        <v>1299</v>
      </c>
      <c r="C166" s="98">
        <f t="shared" si="7"/>
        <v>0</v>
      </c>
      <c r="D166" s="96"/>
      <c r="E166" s="1397"/>
      <c r="F166" s="98">
        <f t="shared" si="6"/>
        <v>0</v>
      </c>
      <c r="G166" s="111"/>
      <c r="H166" s="1400"/>
    </row>
    <row r="167" spans="1:8" ht="16.5">
      <c r="A167" s="1798" t="s">
        <v>100</v>
      </c>
      <c r="B167" s="31" t="s">
        <v>1300</v>
      </c>
      <c r="C167" s="98">
        <f t="shared" si="7"/>
        <v>0</v>
      </c>
      <c r="D167" s="96"/>
      <c r="E167" s="1397"/>
      <c r="F167" s="98">
        <f t="shared" si="6"/>
        <v>0</v>
      </c>
      <c r="G167" s="111"/>
      <c r="H167" s="1400"/>
    </row>
    <row r="168" spans="1:8" ht="17.25" thickBot="1">
      <c r="A168" s="19" t="s">
        <v>95</v>
      </c>
      <c r="B168" s="32" t="s">
        <v>1407</v>
      </c>
      <c r="C168" s="149">
        <f t="shared" si="7"/>
        <v>0</v>
      </c>
      <c r="D168" s="121"/>
      <c r="E168" s="1398"/>
      <c r="F168" s="149">
        <f t="shared" si="6"/>
        <v>0</v>
      </c>
      <c r="G168" s="115"/>
      <c r="H168" s="1377"/>
    </row>
    <row r="169" spans="1:8" ht="82.5" customHeight="1" thickBot="1">
      <c r="A169" s="1800" t="s">
        <v>2905</v>
      </c>
      <c r="B169" s="428" t="s">
        <v>2889</v>
      </c>
      <c r="C169" s="150">
        <f t="shared" ref="C169:C182" si="8">D169+E169</f>
        <v>0</v>
      </c>
      <c r="D169" s="117">
        <f>SUM(D170:D173)</f>
        <v>0</v>
      </c>
      <c r="E169" s="553">
        <f>SUM(E170:E173)</f>
        <v>0</v>
      </c>
      <c r="F169" s="150">
        <f t="shared" ref="F169:F182" si="9">G169+H169</f>
        <v>0</v>
      </c>
      <c r="G169" s="119"/>
      <c r="H169" s="1794">
        <f>SUM(H170:H173)</f>
        <v>0</v>
      </c>
    </row>
    <row r="170" spans="1:8" ht="16.5">
      <c r="A170" s="17" t="s">
        <v>77</v>
      </c>
      <c r="B170" s="36" t="s">
        <v>2890</v>
      </c>
      <c r="C170" s="151">
        <f t="shared" si="8"/>
        <v>0</v>
      </c>
      <c r="D170" s="96"/>
      <c r="E170" s="1397"/>
      <c r="F170" s="151">
        <f t="shared" si="9"/>
        <v>0</v>
      </c>
      <c r="G170" s="109"/>
      <c r="H170" s="1399"/>
    </row>
    <row r="171" spans="1:8" ht="16.5">
      <c r="A171" s="18" t="s">
        <v>81</v>
      </c>
      <c r="B171" s="32" t="s">
        <v>2891</v>
      </c>
      <c r="C171" s="98">
        <f t="shared" si="8"/>
        <v>0</v>
      </c>
      <c r="D171" s="99"/>
      <c r="E171" s="1396"/>
      <c r="F171" s="98">
        <f t="shared" si="9"/>
        <v>0</v>
      </c>
      <c r="G171" s="111"/>
      <c r="H171" s="1400"/>
    </row>
    <row r="172" spans="1:8" ht="16.5">
      <c r="A172" s="18" t="s">
        <v>83</v>
      </c>
      <c r="B172" s="32" t="s">
        <v>2892</v>
      </c>
      <c r="C172" s="98">
        <f t="shared" si="8"/>
        <v>0</v>
      </c>
      <c r="D172" s="99"/>
      <c r="E172" s="1396"/>
      <c r="F172" s="98">
        <f t="shared" si="9"/>
        <v>0</v>
      </c>
      <c r="G172" s="111"/>
      <c r="H172" s="1400"/>
    </row>
    <row r="173" spans="1:8" ht="17.25" thickBot="1">
      <c r="A173" s="1798" t="s">
        <v>100</v>
      </c>
      <c r="B173" s="32" t="s">
        <v>2893</v>
      </c>
      <c r="C173" s="149">
        <f t="shared" si="8"/>
        <v>0</v>
      </c>
      <c r="D173" s="102"/>
      <c r="E173" s="1376"/>
      <c r="F173" s="149">
        <f t="shared" si="9"/>
        <v>0</v>
      </c>
      <c r="G173" s="115"/>
      <c r="H173" s="1377"/>
    </row>
    <row r="174" spans="1:8" ht="52.5" thickBot="1">
      <c r="A174" s="1800" t="s">
        <v>2906</v>
      </c>
      <c r="B174" s="428" t="s">
        <v>2897</v>
      </c>
      <c r="C174" s="150">
        <f t="shared" si="8"/>
        <v>0</v>
      </c>
      <c r="D174" s="117">
        <f>SUM(D175:D177)</f>
        <v>0</v>
      </c>
      <c r="E174" s="553">
        <f>SUM(E175:E177)</f>
        <v>0</v>
      </c>
      <c r="F174" s="150">
        <f t="shared" si="9"/>
        <v>0</v>
      </c>
      <c r="G174" s="119"/>
      <c r="H174" s="1794">
        <f>SUM(H175:H177)</f>
        <v>0</v>
      </c>
    </row>
    <row r="175" spans="1:8" ht="16.5">
      <c r="A175" s="17" t="s">
        <v>77</v>
      </c>
      <c r="B175" s="1103" t="s">
        <v>2894</v>
      </c>
      <c r="C175" s="151">
        <f t="shared" si="8"/>
        <v>0</v>
      </c>
      <c r="D175" s="96"/>
      <c r="E175" s="1397"/>
      <c r="F175" s="151">
        <f t="shared" si="9"/>
        <v>0</v>
      </c>
      <c r="G175" s="109"/>
      <c r="H175" s="1399"/>
    </row>
    <row r="176" spans="1:8" ht="16.5">
      <c r="A176" s="18" t="s">
        <v>81</v>
      </c>
      <c r="B176" s="31" t="s">
        <v>2895</v>
      </c>
      <c r="C176" s="98">
        <f t="shared" si="8"/>
        <v>0</v>
      </c>
      <c r="D176" s="99"/>
      <c r="E176" s="1396"/>
      <c r="F176" s="98">
        <f t="shared" si="9"/>
        <v>0</v>
      </c>
      <c r="G176" s="111"/>
      <c r="H176" s="1400"/>
    </row>
    <row r="177" spans="1:8" ht="17.25" thickBot="1">
      <c r="A177" s="18" t="s">
        <v>83</v>
      </c>
      <c r="B177" s="32" t="s">
        <v>2896</v>
      </c>
      <c r="C177" s="149">
        <f t="shared" si="8"/>
        <v>0</v>
      </c>
      <c r="D177" s="102"/>
      <c r="E177" s="1376"/>
      <c r="F177" s="149">
        <f t="shared" si="9"/>
        <v>0</v>
      </c>
      <c r="G177" s="115"/>
      <c r="H177" s="1377"/>
    </row>
    <row r="178" spans="1:8" ht="81" customHeight="1" thickBot="1">
      <c r="A178" s="1801" t="s">
        <v>2907</v>
      </c>
      <c r="B178" s="428" t="s">
        <v>2898</v>
      </c>
      <c r="C178" s="1799">
        <f t="shared" si="8"/>
        <v>0</v>
      </c>
      <c r="D178" s="117">
        <f>SUM(D179:D182)</f>
        <v>0</v>
      </c>
      <c r="E178" s="553">
        <f>SUM(E179:E182)</f>
        <v>0</v>
      </c>
      <c r="F178" s="150">
        <f t="shared" si="9"/>
        <v>0</v>
      </c>
      <c r="G178" s="119"/>
      <c r="H178" s="1794">
        <f>SUM(H179:H182)</f>
        <v>0</v>
      </c>
    </row>
    <row r="179" spans="1:8" ht="16.5">
      <c r="A179" s="17" t="s">
        <v>77</v>
      </c>
      <c r="B179" s="1103" t="s">
        <v>2899</v>
      </c>
      <c r="C179" s="151">
        <f t="shared" si="8"/>
        <v>0</v>
      </c>
      <c r="D179" s="96"/>
      <c r="E179" s="1397"/>
      <c r="F179" s="151">
        <f t="shared" si="9"/>
        <v>0</v>
      </c>
      <c r="G179" s="109"/>
      <c r="H179" s="1399"/>
    </row>
    <row r="180" spans="1:8" ht="16.5">
      <c r="A180" s="18" t="s">
        <v>81</v>
      </c>
      <c r="B180" s="31" t="s">
        <v>2900</v>
      </c>
      <c r="C180" s="98">
        <f t="shared" si="8"/>
        <v>0</v>
      </c>
      <c r="D180" s="99"/>
      <c r="E180" s="1396"/>
      <c r="F180" s="98">
        <f t="shared" si="9"/>
        <v>0</v>
      </c>
      <c r="G180" s="111"/>
      <c r="H180" s="1400"/>
    </row>
    <row r="181" spans="1:8" ht="16.5">
      <c r="A181" s="18" t="s">
        <v>83</v>
      </c>
      <c r="B181" s="31" t="s">
        <v>2901</v>
      </c>
      <c r="C181" s="98">
        <f t="shared" si="8"/>
        <v>0</v>
      </c>
      <c r="D181" s="99"/>
      <c r="E181" s="1396"/>
      <c r="F181" s="98">
        <f t="shared" si="9"/>
        <v>0</v>
      </c>
      <c r="G181" s="111"/>
      <c r="H181" s="1400"/>
    </row>
    <row r="182" spans="1:8" ht="17.25" thickBot="1">
      <c r="A182" s="1798" t="s">
        <v>100</v>
      </c>
      <c r="B182" s="31" t="s">
        <v>2902</v>
      </c>
      <c r="C182" s="98">
        <f t="shared" si="8"/>
        <v>0</v>
      </c>
      <c r="D182" s="99"/>
      <c r="E182" s="1396"/>
      <c r="F182" s="98">
        <f t="shared" si="9"/>
        <v>0</v>
      </c>
      <c r="G182" s="111"/>
      <c r="H182" s="1400"/>
    </row>
    <row r="183" spans="1:8" ht="52.5" thickBot="1">
      <c r="A183" s="1847" t="s">
        <v>369</v>
      </c>
      <c r="B183" s="1852" t="s">
        <v>2883</v>
      </c>
      <c r="C183" s="1853">
        <f>D183</f>
        <v>0</v>
      </c>
      <c r="D183" s="1854">
        <f>SUM(D184:D185)</f>
        <v>0</v>
      </c>
      <c r="E183" s="1854">
        <f>SUM(E184:E185)</f>
        <v>0</v>
      </c>
      <c r="F183" s="1853">
        <f>G183</f>
        <v>0</v>
      </c>
      <c r="G183" s="1854">
        <f>SUM(G184:G185)</f>
        <v>0</v>
      </c>
      <c r="H183" s="1861">
        <f>SUM(H184:H185)</f>
        <v>0</v>
      </c>
    </row>
    <row r="184" spans="1:8" ht="16.5">
      <c r="A184" s="1848" t="s">
        <v>77</v>
      </c>
      <c r="B184" s="1849" t="s">
        <v>2884</v>
      </c>
      <c r="C184" s="1855">
        <f>D184</f>
        <v>0</v>
      </c>
      <c r="D184" s="1856"/>
      <c r="E184" s="1856"/>
      <c r="F184" s="1855">
        <f>G184</f>
        <v>0</v>
      </c>
      <c r="G184" s="1857"/>
      <c r="H184" s="1857"/>
    </row>
    <row r="185" spans="1:8" ht="17.25" thickBot="1">
      <c r="A185" s="1850" t="s">
        <v>81</v>
      </c>
      <c r="B185" s="1851" t="s">
        <v>2885</v>
      </c>
      <c r="C185" s="1858">
        <f>D185</f>
        <v>0</v>
      </c>
      <c r="D185" s="1859"/>
      <c r="E185" s="1859"/>
      <c r="F185" s="1858">
        <f>G185</f>
        <v>0</v>
      </c>
      <c r="G185" s="1860"/>
      <c r="H185" s="1860"/>
    </row>
    <row r="186" spans="1:8" ht="39.75" thickBot="1">
      <c r="A186" s="1831" t="s">
        <v>368</v>
      </c>
      <c r="B186" s="1832" t="s">
        <v>2886</v>
      </c>
      <c r="C186" s="1833">
        <f>D186</f>
        <v>0</v>
      </c>
      <c r="D186" s="1834">
        <f>SUM(D187:D188)</f>
        <v>0</v>
      </c>
      <c r="E186" s="1834"/>
      <c r="F186" s="1833">
        <f>G186</f>
        <v>0</v>
      </c>
      <c r="G186" s="1835">
        <f>SUM(G187:G188)</f>
        <v>0</v>
      </c>
      <c r="H186" s="1836"/>
    </row>
    <row r="187" spans="1:8" ht="16.5">
      <c r="A187" s="1837" t="s">
        <v>77</v>
      </c>
      <c r="B187" s="1838" t="s">
        <v>2887</v>
      </c>
      <c r="C187" s="1839">
        <f t="shared" ref="C187:C192" si="10">D187+E187</f>
        <v>0</v>
      </c>
      <c r="D187" s="1840"/>
      <c r="E187" s="1840"/>
      <c r="F187" s="1839">
        <f t="shared" ref="F187:F192" si="11">G187+H187</f>
        <v>0</v>
      </c>
      <c r="G187" s="1841"/>
      <c r="H187" s="1841"/>
    </row>
    <row r="188" spans="1:8" ht="17.25" thickBot="1">
      <c r="A188" s="1842" t="s">
        <v>87</v>
      </c>
      <c r="B188" s="1843" t="s">
        <v>2888</v>
      </c>
      <c r="C188" s="1844">
        <f t="shared" si="10"/>
        <v>0</v>
      </c>
      <c r="D188" s="1845"/>
      <c r="E188" s="1845"/>
      <c r="F188" s="1844">
        <f t="shared" si="11"/>
        <v>0</v>
      </c>
      <c r="G188" s="1846"/>
      <c r="H188" s="1846"/>
    </row>
    <row r="189" spans="1:8" ht="51.75" thickBot="1">
      <c r="A189" s="1814" t="s">
        <v>451</v>
      </c>
      <c r="B189" s="1815" t="s">
        <v>2908</v>
      </c>
      <c r="C189" s="1816">
        <f t="shared" si="10"/>
        <v>0</v>
      </c>
      <c r="D189" s="1817">
        <f>D190</f>
        <v>0</v>
      </c>
      <c r="E189" s="1817"/>
      <c r="F189" s="1816">
        <f t="shared" si="11"/>
        <v>0</v>
      </c>
      <c r="G189" s="1818">
        <f>G190</f>
        <v>0</v>
      </c>
      <c r="H189" s="1819"/>
    </row>
    <row r="190" spans="1:8" ht="17.25" thickBot="1">
      <c r="A190" s="1824" t="s">
        <v>91</v>
      </c>
      <c r="B190" s="1820" t="s">
        <v>566</v>
      </c>
      <c r="C190" s="1821">
        <f>D190+E190</f>
        <v>0</v>
      </c>
      <c r="D190" s="1822"/>
      <c r="E190" s="1822"/>
      <c r="F190" s="1821">
        <f>G190+H190</f>
        <v>0</v>
      </c>
      <c r="G190" s="1823"/>
      <c r="H190" s="1823"/>
    </row>
    <row r="191" spans="1:8" ht="85.5" customHeight="1" thickBot="1">
      <c r="A191" s="1803" t="s">
        <v>2909</v>
      </c>
      <c r="B191" s="1804" t="s">
        <v>2903</v>
      </c>
      <c r="C191" s="1805">
        <f t="shared" si="10"/>
        <v>0</v>
      </c>
      <c r="D191" s="1806">
        <f>D192</f>
        <v>0</v>
      </c>
      <c r="E191" s="1806">
        <f>E192</f>
        <v>0</v>
      </c>
      <c r="F191" s="1805">
        <f t="shared" si="11"/>
        <v>0</v>
      </c>
      <c r="G191" s="1807">
        <f>G192</f>
        <v>0</v>
      </c>
      <c r="H191" s="1808">
        <f>H192</f>
        <v>0</v>
      </c>
    </row>
    <row r="192" spans="1:8" ht="17.25" thickBot="1">
      <c r="A192" s="1809" t="s">
        <v>100</v>
      </c>
      <c r="B192" s="1810" t="s">
        <v>2904</v>
      </c>
      <c r="C192" s="1811">
        <f t="shared" si="10"/>
        <v>0</v>
      </c>
      <c r="D192" s="1812"/>
      <c r="E192" s="1812"/>
      <c r="F192" s="1811">
        <f t="shared" si="11"/>
        <v>0</v>
      </c>
      <c r="G192" s="1813"/>
      <c r="H192" s="1813"/>
    </row>
    <row r="193" spans="1:8" ht="79.5" thickBot="1">
      <c r="A193" s="1802" t="s">
        <v>35</v>
      </c>
      <c r="B193" s="1233" t="s">
        <v>122</v>
      </c>
      <c r="C193" s="1234">
        <f t="shared" si="5"/>
        <v>0</v>
      </c>
      <c r="D193" s="1235">
        <f>D194+D239+D241</f>
        <v>0</v>
      </c>
      <c r="E193" s="1235">
        <f>E194+E239+E241</f>
        <v>0</v>
      </c>
      <c r="F193" s="1234">
        <f t="shared" si="6"/>
        <v>0</v>
      </c>
      <c r="G193" s="1235">
        <f>G194+G239+G241</f>
        <v>0</v>
      </c>
      <c r="H193" s="1212">
        <f>H194+H239+H241</f>
        <v>0</v>
      </c>
    </row>
    <row r="194" spans="1:8" ht="17.25" thickBot="1">
      <c r="A194" s="1862" t="s">
        <v>2926</v>
      </c>
      <c r="B194" s="1291" t="s">
        <v>563</v>
      </c>
      <c r="C194" s="1280">
        <f>D194+E194</f>
        <v>0</v>
      </c>
      <c r="D194" s="1274">
        <f>SUM(D195:D208)</f>
        <v>0</v>
      </c>
      <c r="E194" s="1274"/>
      <c r="F194" s="1208">
        <f>G194+H194</f>
        <v>0</v>
      </c>
      <c r="G194" s="1274">
        <f>SUM(G195:G208)</f>
        <v>0</v>
      </c>
      <c r="H194" s="1281"/>
    </row>
    <row r="195" spans="1:8" ht="16.5">
      <c r="A195" s="17" t="s">
        <v>77</v>
      </c>
      <c r="B195" s="34" t="s">
        <v>1408</v>
      </c>
      <c r="C195" s="113">
        <f t="shared" si="5"/>
        <v>0</v>
      </c>
      <c r="D195" s="96"/>
      <c r="E195" s="1397"/>
      <c r="F195" s="151">
        <f t="shared" si="6"/>
        <v>0</v>
      </c>
      <c r="G195" s="109"/>
      <c r="H195" s="1397"/>
    </row>
    <row r="196" spans="1:8" ht="16.5">
      <c r="A196" s="18" t="s">
        <v>81</v>
      </c>
      <c r="B196" s="34" t="s">
        <v>1410</v>
      </c>
      <c r="C196" s="98">
        <f t="shared" si="5"/>
        <v>0</v>
      </c>
      <c r="D196" s="99"/>
      <c r="E196" s="1396"/>
      <c r="F196" s="98">
        <f t="shared" si="6"/>
        <v>0</v>
      </c>
      <c r="G196" s="111"/>
      <c r="H196" s="1396"/>
    </row>
    <row r="197" spans="1:8" ht="16.5">
      <c r="A197" s="18" t="s">
        <v>79</v>
      </c>
      <c r="B197" s="34" t="s">
        <v>1409</v>
      </c>
      <c r="C197" s="98">
        <f t="shared" si="5"/>
        <v>0</v>
      </c>
      <c r="D197" s="99"/>
      <c r="E197" s="1396"/>
      <c r="F197" s="98">
        <f t="shared" si="6"/>
        <v>0</v>
      </c>
      <c r="G197" s="111"/>
      <c r="H197" s="1396"/>
    </row>
    <row r="198" spans="1:8" ht="16.5">
      <c r="A198" s="18" t="s">
        <v>83</v>
      </c>
      <c r="B198" s="34" t="s">
        <v>1411</v>
      </c>
      <c r="C198" s="98">
        <f t="shared" si="5"/>
        <v>0</v>
      </c>
      <c r="D198" s="99"/>
      <c r="E198" s="1396"/>
      <c r="F198" s="98">
        <f t="shared" si="6"/>
        <v>0</v>
      </c>
      <c r="G198" s="111"/>
      <c r="H198" s="1396"/>
    </row>
    <row r="199" spans="1:8" ht="16.5">
      <c r="A199" s="18" t="s">
        <v>91</v>
      </c>
      <c r="B199" s="34" t="s">
        <v>1414</v>
      </c>
      <c r="C199" s="98">
        <f t="shared" si="5"/>
        <v>0</v>
      </c>
      <c r="D199" s="99"/>
      <c r="E199" s="1376"/>
      <c r="F199" s="98">
        <f t="shared" si="6"/>
        <v>0</v>
      </c>
      <c r="G199" s="115"/>
      <c r="H199" s="1376"/>
    </row>
    <row r="200" spans="1:8" ht="16.5">
      <c r="A200" s="1797" t="s">
        <v>97</v>
      </c>
      <c r="B200" s="36" t="s">
        <v>1417</v>
      </c>
      <c r="C200" s="98">
        <f t="shared" si="5"/>
        <v>0</v>
      </c>
      <c r="D200" s="99"/>
      <c r="E200" s="1396"/>
      <c r="F200" s="98">
        <f t="shared" si="6"/>
        <v>0</v>
      </c>
      <c r="G200" s="111"/>
      <c r="H200" s="1396"/>
    </row>
    <row r="201" spans="1:8" ht="16.5">
      <c r="A201" s="1798" t="s">
        <v>100</v>
      </c>
      <c r="B201" s="31" t="s">
        <v>1419</v>
      </c>
      <c r="C201" s="98">
        <f t="shared" si="5"/>
        <v>0</v>
      </c>
      <c r="D201" s="99"/>
      <c r="E201" s="1396"/>
      <c r="F201" s="98">
        <f t="shared" si="6"/>
        <v>0</v>
      </c>
      <c r="G201" s="111"/>
      <c r="H201" s="1396"/>
    </row>
    <row r="202" spans="1:8" ht="16.5">
      <c r="A202" s="18" t="s">
        <v>83</v>
      </c>
      <c r="B202" s="31" t="s">
        <v>934</v>
      </c>
      <c r="C202" s="98">
        <f t="shared" si="5"/>
        <v>0</v>
      </c>
      <c r="D202" s="99"/>
      <c r="E202" s="1396"/>
      <c r="F202" s="98">
        <f t="shared" si="6"/>
        <v>0</v>
      </c>
      <c r="G202" s="111"/>
      <c r="H202" s="1396"/>
    </row>
    <row r="203" spans="1:8" ht="16.5">
      <c r="A203" s="18" t="s">
        <v>85</v>
      </c>
      <c r="B203" s="34" t="s">
        <v>1412</v>
      </c>
      <c r="C203" s="98">
        <f t="shared" si="5"/>
        <v>0</v>
      </c>
      <c r="D203" s="99"/>
      <c r="E203" s="1396"/>
      <c r="F203" s="98">
        <f t="shared" si="6"/>
        <v>0</v>
      </c>
      <c r="G203" s="111"/>
      <c r="H203" s="1396"/>
    </row>
    <row r="204" spans="1:8" ht="16.5">
      <c r="A204" s="18" t="s">
        <v>91</v>
      </c>
      <c r="B204" s="34" t="s">
        <v>1413</v>
      </c>
      <c r="C204" s="98">
        <f t="shared" si="5"/>
        <v>0</v>
      </c>
      <c r="D204" s="99"/>
      <c r="E204" s="1396"/>
      <c r="F204" s="98">
        <f t="shared" si="6"/>
        <v>0</v>
      </c>
      <c r="G204" s="111"/>
      <c r="H204" s="1396"/>
    </row>
    <row r="205" spans="1:8" ht="16.5">
      <c r="A205" s="18" t="s">
        <v>95</v>
      </c>
      <c r="B205" s="34" t="s">
        <v>1416</v>
      </c>
      <c r="C205" s="98">
        <f t="shared" si="5"/>
        <v>0</v>
      </c>
      <c r="D205" s="99"/>
      <c r="E205" s="1396"/>
      <c r="F205" s="98">
        <f t="shared" si="6"/>
        <v>0</v>
      </c>
      <c r="G205" s="111"/>
      <c r="H205" s="1396"/>
    </row>
    <row r="206" spans="1:8" ht="16.5">
      <c r="A206" s="1797" t="s">
        <v>97</v>
      </c>
      <c r="B206" s="34" t="s">
        <v>1418</v>
      </c>
      <c r="C206" s="98">
        <f t="shared" si="5"/>
        <v>0</v>
      </c>
      <c r="D206" s="99"/>
      <c r="E206" s="1396"/>
      <c r="F206" s="98">
        <f t="shared" si="6"/>
        <v>0</v>
      </c>
      <c r="G206" s="111"/>
      <c r="H206" s="1396"/>
    </row>
    <row r="207" spans="1:8" ht="16.5">
      <c r="A207" s="1798" t="s">
        <v>100</v>
      </c>
      <c r="B207" s="34" t="s">
        <v>1420</v>
      </c>
      <c r="C207" s="98">
        <f t="shared" si="5"/>
        <v>0</v>
      </c>
      <c r="D207" s="99"/>
      <c r="E207" s="1396"/>
      <c r="F207" s="98">
        <f t="shared" si="6"/>
        <v>0</v>
      </c>
      <c r="G207" s="111"/>
      <c r="H207" s="1396"/>
    </row>
    <row r="208" spans="1:8" ht="17.25" thickBot="1">
      <c r="A208" s="19" t="s">
        <v>95</v>
      </c>
      <c r="B208" s="36" t="s">
        <v>1415</v>
      </c>
      <c r="C208" s="149">
        <f t="shared" si="5"/>
        <v>0</v>
      </c>
      <c r="D208" s="102"/>
      <c r="E208" s="1376"/>
      <c r="F208" s="149">
        <f t="shared" si="6"/>
        <v>0</v>
      </c>
      <c r="G208" s="115"/>
      <c r="H208" s="1376"/>
    </row>
    <row r="209" spans="1:8" ht="52.5" thickBot="1">
      <c r="A209" s="1800" t="s">
        <v>2927</v>
      </c>
      <c r="B209" s="428" t="s">
        <v>2914</v>
      </c>
      <c r="C209" s="150">
        <f t="shared" si="5"/>
        <v>0</v>
      </c>
      <c r="D209" s="117">
        <f>SUM(D210:D217)</f>
        <v>0</v>
      </c>
      <c r="E209" s="553">
        <f>SUM(E210:E217)</f>
        <v>0</v>
      </c>
      <c r="F209" s="150">
        <f t="shared" si="6"/>
        <v>0</v>
      </c>
      <c r="G209" s="119">
        <f>SUM(G210:G217)</f>
        <v>0</v>
      </c>
      <c r="H209" s="1536">
        <f>SUM(H210:H217)</f>
        <v>0</v>
      </c>
    </row>
    <row r="210" spans="1:8" ht="16.5">
      <c r="A210" s="17" t="s">
        <v>77</v>
      </c>
      <c r="B210" s="34" t="s">
        <v>2916</v>
      </c>
      <c r="C210" s="369">
        <f t="shared" si="5"/>
        <v>0</v>
      </c>
      <c r="D210" s="96"/>
      <c r="E210" s="1397"/>
      <c r="F210" s="369">
        <f t="shared" si="6"/>
        <v>0</v>
      </c>
      <c r="G210" s="109"/>
      <c r="H210" s="1397"/>
    </row>
    <row r="211" spans="1:8" ht="16.5">
      <c r="A211" s="18" t="s">
        <v>81</v>
      </c>
      <c r="B211" s="31" t="s">
        <v>2917</v>
      </c>
      <c r="C211" s="149">
        <f t="shared" si="5"/>
        <v>0</v>
      </c>
      <c r="D211" s="99"/>
      <c r="E211" s="1396"/>
      <c r="F211" s="149">
        <f t="shared" si="6"/>
        <v>0</v>
      </c>
      <c r="G211" s="111"/>
      <c r="H211" s="1396"/>
    </row>
    <row r="212" spans="1:8" ht="16.5">
      <c r="A212" s="18" t="s">
        <v>83</v>
      </c>
      <c r="B212" s="31" t="s">
        <v>2918</v>
      </c>
      <c r="C212" s="149">
        <f t="shared" si="5"/>
        <v>0</v>
      </c>
      <c r="D212" s="99"/>
      <c r="E212" s="1396"/>
      <c r="F212" s="149">
        <f t="shared" si="6"/>
        <v>0</v>
      </c>
      <c r="G212" s="111"/>
      <c r="H212" s="1396"/>
    </row>
    <row r="213" spans="1:8" ht="16.5">
      <c r="A213" s="18" t="s">
        <v>91</v>
      </c>
      <c r="B213" s="31" t="s">
        <v>2919</v>
      </c>
      <c r="C213" s="149">
        <f t="shared" si="5"/>
        <v>0</v>
      </c>
      <c r="D213" s="99"/>
      <c r="E213" s="1396"/>
      <c r="F213" s="149">
        <f t="shared" si="6"/>
        <v>0</v>
      </c>
      <c r="G213" s="111"/>
      <c r="H213" s="1396"/>
    </row>
    <row r="214" spans="1:8" ht="16.5">
      <c r="A214" s="1797" t="s">
        <v>97</v>
      </c>
      <c r="B214" s="31" t="s">
        <v>2920</v>
      </c>
      <c r="C214" s="149">
        <f t="shared" si="5"/>
        <v>0</v>
      </c>
      <c r="D214" s="99"/>
      <c r="E214" s="1396"/>
      <c r="F214" s="149">
        <f t="shared" si="6"/>
        <v>0</v>
      </c>
      <c r="G214" s="111"/>
      <c r="H214" s="1396"/>
    </row>
    <row r="215" spans="1:8" ht="16.5">
      <c r="A215" s="1798" t="s">
        <v>100</v>
      </c>
      <c r="B215" s="31" t="s">
        <v>2921</v>
      </c>
      <c r="C215" s="149">
        <f t="shared" si="5"/>
        <v>0</v>
      </c>
      <c r="D215" s="99"/>
      <c r="E215" s="1396"/>
      <c r="F215" s="149">
        <f t="shared" si="6"/>
        <v>0</v>
      </c>
      <c r="G215" s="111"/>
      <c r="H215" s="1396"/>
    </row>
    <row r="216" spans="1:8" ht="16.5">
      <c r="A216" s="18" t="s">
        <v>91</v>
      </c>
      <c r="B216" s="31" t="s">
        <v>2922</v>
      </c>
      <c r="C216" s="149">
        <f t="shared" si="5"/>
        <v>0</v>
      </c>
      <c r="D216" s="99"/>
      <c r="E216" s="1396"/>
      <c r="F216" s="149">
        <f t="shared" si="6"/>
        <v>0</v>
      </c>
      <c r="G216" s="111"/>
      <c r="H216" s="1396"/>
    </row>
    <row r="217" spans="1:8" ht="17.25" thickBot="1">
      <c r="A217" s="1798" t="s">
        <v>100</v>
      </c>
      <c r="B217" s="32" t="s">
        <v>2923</v>
      </c>
      <c r="C217" s="149">
        <f t="shared" si="5"/>
        <v>0</v>
      </c>
      <c r="D217" s="102"/>
      <c r="E217" s="1376"/>
      <c r="F217" s="149">
        <f t="shared" si="6"/>
        <v>0</v>
      </c>
      <c r="G217" s="115"/>
      <c r="H217" s="1376"/>
    </row>
    <row r="218" spans="1:8" ht="39.75" thickBot="1">
      <c r="A218" s="1800" t="s">
        <v>2928</v>
      </c>
      <c r="B218" s="428" t="s">
        <v>2915</v>
      </c>
      <c r="C218" s="150">
        <f t="shared" si="5"/>
        <v>0</v>
      </c>
      <c r="D218" s="117">
        <f>SUM(D219:D221)</f>
        <v>0</v>
      </c>
      <c r="E218" s="553">
        <f>SUM(E219:E221)</f>
        <v>0</v>
      </c>
      <c r="F218" s="150">
        <f t="shared" si="6"/>
        <v>0</v>
      </c>
      <c r="G218" s="119">
        <f>SUM(G219:G221)</f>
        <v>0</v>
      </c>
      <c r="H218" s="1536">
        <f>SUM(H219:H221)</f>
        <v>0</v>
      </c>
    </row>
    <row r="219" spans="1:8" ht="16.5">
      <c r="A219" s="17" t="s">
        <v>77</v>
      </c>
      <c r="B219" s="34" t="s">
        <v>2916</v>
      </c>
      <c r="C219" s="369">
        <f t="shared" si="5"/>
        <v>0</v>
      </c>
      <c r="D219" s="96"/>
      <c r="E219" s="1397"/>
      <c r="F219" s="369">
        <f t="shared" si="6"/>
        <v>0</v>
      </c>
      <c r="G219" s="109"/>
      <c r="H219" s="1397"/>
    </row>
    <row r="220" spans="1:8" ht="16.5">
      <c r="A220" s="18" t="s">
        <v>81</v>
      </c>
      <c r="B220" s="31" t="s">
        <v>2924</v>
      </c>
      <c r="C220" s="149">
        <f t="shared" si="5"/>
        <v>0</v>
      </c>
      <c r="D220" s="99"/>
      <c r="E220" s="1396"/>
      <c r="F220" s="149">
        <f t="shared" si="6"/>
        <v>0</v>
      </c>
      <c r="G220" s="111"/>
      <c r="H220" s="1396"/>
    </row>
    <row r="221" spans="1:8" ht="17.25" thickBot="1">
      <c r="A221" s="19" t="s">
        <v>83</v>
      </c>
      <c r="B221" s="36" t="s">
        <v>2925</v>
      </c>
      <c r="C221" s="149">
        <f t="shared" si="5"/>
        <v>0</v>
      </c>
      <c r="D221" s="121"/>
      <c r="E221" s="1398"/>
      <c r="F221" s="149">
        <f t="shared" si="6"/>
        <v>0</v>
      </c>
      <c r="G221" s="122"/>
      <c r="H221" s="1407"/>
    </row>
    <row r="222" spans="1:8" ht="192.75" customHeight="1" thickBot="1">
      <c r="A222" s="1800" t="s">
        <v>2946</v>
      </c>
      <c r="B222" s="428" t="s">
        <v>2929</v>
      </c>
      <c r="C222" s="150">
        <f t="shared" si="5"/>
        <v>0</v>
      </c>
      <c r="D222" s="117">
        <f>SUM(D223:D238)</f>
        <v>0</v>
      </c>
      <c r="E222" s="553">
        <f>SUM(E223:E238)</f>
        <v>0</v>
      </c>
      <c r="F222" s="150">
        <f t="shared" si="6"/>
        <v>0</v>
      </c>
      <c r="G222" s="119">
        <f>SUM(G223:G238)</f>
        <v>0</v>
      </c>
      <c r="H222" s="1536">
        <f>SUM(H223:H238)</f>
        <v>0</v>
      </c>
    </row>
    <row r="223" spans="1:8" ht="16.5">
      <c r="A223" s="17" t="s">
        <v>77</v>
      </c>
      <c r="B223" s="36" t="s">
        <v>2930</v>
      </c>
      <c r="C223" s="369">
        <f t="shared" si="5"/>
        <v>0</v>
      </c>
      <c r="D223" s="96"/>
      <c r="E223" s="1397"/>
      <c r="F223" s="369">
        <f t="shared" si="6"/>
        <v>0</v>
      </c>
      <c r="G223" s="109"/>
      <c r="H223" s="1397"/>
    </row>
    <row r="224" spans="1:8" ht="16.5">
      <c r="A224" s="18" t="s">
        <v>81</v>
      </c>
      <c r="B224" s="32" t="s">
        <v>2931</v>
      </c>
      <c r="C224" s="149">
        <f t="shared" si="5"/>
        <v>0</v>
      </c>
      <c r="D224" s="99"/>
      <c r="E224" s="1396"/>
      <c r="F224" s="149">
        <f t="shared" si="6"/>
        <v>0</v>
      </c>
      <c r="G224" s="111"/>
      <c r="H224" s="1396"/>
    </row>
    <row r="225" spans="1:8" ht="16.5">
      <c r="A225" s="18" t="s">
        <v>79</v>
      </c>
      <c r="B225" s="31" t="s">
        <v>2932</v>
      </c>
      <c r="C225" s="149">
        <f t="shared" si="5"/>
        <v>0</v>
      </c>
      <c r="D225" s="99"/>
      <c r="E225" s="1396"/>
      <c r="F225" s="149">
        <f t="shared" si="6"/>
        <v>0</v>
      </c>
      <c r="G225" s="111"/>
      <c r="H225" s="1396"/>
    </row>
    <row r="226" spans="1:8" ht="16.5">
      <c r="A226" s="18" t="s">
        <v>83</v>
      </c>
      <c r="B226" s="31" t="s">
        <v>2933</v>
      </c>
      <c r="C226" s="149">
        <f t="shared" si="5"/>
        <v>0</v>
      </c>
      <c r="D226" s="99"/>
      <c r="E226" s="1396"/>
      <c r="F226" s="149">
        <f t="shared" si="6"/>
        <v>0</v>
      </c>
      <c r="G226" s="111"/>
      <c r="H226" s="1396"/>
    </row>
    <row r="227" spans="1:8" ht="16.5">
      <c r="A227" s="18" t="s">
        <v>89</v>
      </c>
      <c r="B227" s="31" t="s">
        <v>2934</v>
      </c>
      <c r="C227" s="149">
        <f t="shared" si="5"/>
        <v>0</v>
      </c>
      <c r="D227" s="99"/>
      <c r="E227" s="1396"/>
      <c r="F227" s="149">
        <f t="shared" si="6"/>
        <v>0</v>
      </c>
      <c r="G227" s="111"/>
      <c r="H227" s="1396"/>
    </row>
    <row r="228" spans="1:8" ht="16.5">
      <c r="A228" s="9" t="s">
        <v>91</v>
      </c>
      <c r="B228" s="31" t="s">
        <v>2935</v>
      </c>
      <c r="C228" s="149">
        <f t="shared" si="5"/>
        <v>0</v>
      </c>
      <c r="D228" s="99"/>
      <c r="E228" s="1396"/>
      <c r="F228" s="149">
        <f t="shared" si="6"/>
        <v>0</v>
      </c>
      <c r="G228" s="111"/>
      <c r="H228" s="1396"/>
    </row>
    <row r="229" spans="1:8" ht="16.5">
      <c r="A229" s="1797" t="s">
        <v>97</v>
      </c>
      <c r="B229" s="31" t="s">
        <v>2936</v>
      </c>
      <c r="C229" s="149">
        <f t="shared" si="5"/>
        <v>0</v>
      </c>
      <c r="D229" s="99"/>
      <c r="E229" s="1396"/>
      <c r="F229" s="149">
        <f t="shared" si="6"/>
        <v>0</v>
      </c>
      <c r="G229" s="111"/>
      <c r="H229" s="1396"/>
    </row>
    <row r="230" spans="1:8" ht="16.5">
      <c r="A230" s="1798" t="s">
        <v>100</v>
      </c>
      <c r="B230" s="31" t="s">
        <v>2937</v>
      </c>
      <c r="C230" s="149">
        <f t="shared" si="5"/>
        <v>0</v>
      </c>
      <c r="D230" s="99"/>
      <c r="E230" s="1396"/>
      <c r="F230" s="149">
        <f t="shared" si="6"/>
        <v>0</v>
      </c>
      <c r="G230" s="111"/>
      <c r="H230" s="1396"/>
    </row>
    <row r="231" spans="1:8" ht="16.5">
      <c r="A231" s="9" t="s">
        <v>2320</v>
      </c>
      <c r="B231" s="31" t="s">
        <v>2938</v>
      </c>
      <c r="C231" s="149">
        <f t="shared" si="5"/>
        <v>0</v>
      </c>
      <c r="D231" s="99"/>
      <c r="E231" s="1396"/>
      <c r="F231" s="149">
        <f t="shared" si="6"/>
        <v>0</v>
      </c>
      <c r="G231" s="111"/>
      <c r="H231" s="1396"/>
    </row>
    <row r="232" spans="1:8" ht="16.5">
      <c r="A232" s="9" t="s">
        <v>2947</v>
      </c>
      <c r="B232" s="31" t="s">
        <v>2939</v>
      </c>
      <c r="C232" s="149">
        <f t="shared" si="5"/>
        <v>0</v>
      </c>
      <c r="D232" s="99"/>
      <c r="E232" s="1396"/>
      <c r="F232" s="149">
        <f t="shared" si="6"/>
        <v>0</v>
      </c>
      <c r="G232" s="111"/>
      <c r="H232" s="1396"/>
    </row>
    <row r="233" spans="1:8" ht="16.5">
      <c r="A233" s="18" t="s">
        <v>89</v>
      </c>
      <c r="B233" s="31" t="s">
        <v>2940</v>
      </c>
      <c r="C233" s="149">
        <f t="shared" si="5"/>
        <v>0</v>
      </c>
      <c r="D233" s="99"/>
      <c r="E233" s="1396"/>
      <c r="F233" s="149">
        <f t="shared" si="6"/>
        <v>0</v>
      </c>
      <c r="G233" s="111"/>
      <c r="H233" s="1396"/>
    </row>
    <row r="234" spans="1:8" ht="16.5">
      <c r="A234" s="9" t="s">
        <v>91</v>
      </c>
      <c r="B234" s="31" t="s">
        <v>2941</v>
      </c>
      <c r="C234" s="149">
        <f t="shared" si="5"/>
        <v>0</v>
      </c>
      <c r="D234" s="99"/>
      <c r="E234" s="1396"/>
      <c r="F234" s="149">
        <f t="shared" si="6"/>
        <v>0</v>
      </c>
      <c r="G234" s="111"/>
      <c r="H234" s="1396"/>
    </row>
    <row r="235" spans="1:8" ht="16.5">
      <c r="A235" s="9" t="s">
        <v>2948</v>
      </c>
      <c r="B235" s="31" t="s">
        <v>2942</v>
      </c>
      <c r="C235" s="149">
        <f t="shared" si="5"/>
        <v>0</v>
      </c>
      <c r="D235" s="99"/>
      <c r="E235" s="1396"/>
      <c r="F235" s="149">
        <f t="shared" si="6"/>
        <v>0</v>
      </c>
      <c r="G235" s="111"/>
      <c r="H235" s="1396"/>
    </row>
    <row r="236" spans="1:8" ht="16.5">
      <c r="A236" s="1797" t="s">
        <v>97</v>
      </c>
      <c r="B236" s="31" t="s">
        <v>2943</v>
      </c>
      <c r="C236" s="149">
        <f t="shared" si="5"/>
        <v>0</v>
      </c>
      <c r="D236" s="99"/>
      <c r="E236" s="1396"/>
      <c r="F236" s="149">
        <f t="shared" si="6"/>
        <v>0</v>
      </c>
      <c r="G236" s="111"/>
      <c r="H236" s="1396"/>
    </row>
    <row r="237" spans="1:8" ht="16.5">
      <c r="A237" s="1798" t="s">
        <v>100</v>
      </c>
      <c r="B237" s="31" t="s">
        <v>2944</v>
      </c>
      <c r="C237" s="149">
        <f t="shared" si="5"/>
        <v>0</v>
      </c>
      <c r="D237" s="99"/>
      <c r="E237" s="1396"/>
      <c r="F237" s="149">
        <f t="shared" si="6"/>
        <v>0</v>
      </c>
      <c r="G237" s="111"/>
      <c r="H237" s="1396"/>
    </row>
    <row r="238" spans="1:8" ht="17.25" thickBot="1">
      <c r="A238" s="473" t="s">
        <v>95</v>
      </c>
      <c r="B238" s="36" t="s">
        <v>2945</v>
      </c>
      <c r="C238" s="149">
        <f t="shared" si="5"/>
        <v>0</v>
      </c>
      <c r="D238" s="102"/>
      <c r="E238" s="1376"/>
      <c r="F238" s="149">
        <f t="shared" si="6"/>
        <v>0</v>
      </c>
      <c r="G238" s="115"/>
      <c r="H238" s="1376"/>
    </row>
    <row r="239" spans="1:8" ht="52.5" thickBot="1">
      <c r="A239" s="1825" t="s">
        <v>369</v>
      </c>
      <c r="B239" s="1874" t="s">
        <v>2910</v>
      </c>
      <c r="C239" s="1826">
        <f>D239</f>
        <v>0</v>
      </c>
      <c r="D239" s="1827">
        <f>SUM(D240:D240)</f>
        <v>0</v>
      </c>
      <c r="E239" s="1827"/>
      <c r="F239" s="1826">
        <f>G239</f>
        <v>0</v>
      </c>
      <c r="G239" s="1828">
        <f>SUM(G240:G240)</f>
        <v>0</v>
      </c>
      <c r="H239" s="1875"/>
    </row>
    <row r="240" spans="1:8" ht="17.25" thickBot="1">
      <c r="A240" s="1829" t="s">
        <v>77</v>
      </c>
      <c r="B240" s="1830" t="s">
        <v>560</v>
      </c>
      <c r="C240" s="1876">
        <f>D240</f>
        <v>0</v>
      </c>
      <c r="D240" s="1877"/>
      <c r="E240" s="1877"/>
      <c r="F240" s="1878">
        <f>G240</f>
        <v>0</v>
      </c>
      <c r="G240" s="1879"/>
      <c r="H240" s="1877"/>
    </row>
    <row r="241" spans="1:8" ht="39.75" thickBot="1">
      <c r="A241" s="1831" t="s">
        <v>1068</v>
      </c>
      <c r="B241" s="1863" t="s">
        <v>2911</v>
      </c>
      <c r="C241" s="1864">
        <f>D241</f>
        <v>0</v>
      </c>
      <c r="D241" s="1834">
        <f>SUM(D242:D243)</f>
        <v>0</v>
      </c>
      <c r="E241" s="1834"/>
      <c r="F241" s="1833">
        <f>G241</f>
        <v>0</v>
      </c>
      <c r="G241" s="1835">
        <f>SUM(G242:G243)</f>
        <v>0</v>
      </c>
      <c r="H241" s="1865"/>
    </row>
    <row r="242" spans="1:8" ht="16.5">
      <c r="A242" s="1837" t="s">
        <v>77</v>
      </c>
      <c r="B242" s="1866" t="s">
        <v>2912</v>
      </c>
      <c r="C242" s="1867">
        <f>D242+E242</f>
        <v>0</v>
      </c>
      <c r="D242" s="1868"/>
      <c r="E242" s="1868"/>
      <c r="F242" s="1867">
        <f>G242+H242</f>
        <v>0</v>
      </c>
      <c r="G242" s="1869"/>
      <c r="H242" s="1868"/>
    </row>
    <row r="243" spans="1:8" ht="17.25" thickBot="1">
      <c r="A243" s="1870" t="s">
        <v>81</v>
      </c>
      <c r="B243" s="1843" t="s">
        <v>2913</v>
      </c>
      <c r="C243" s="1871">
        <f>D243</f>
        <v>0</v>
      </c>
      <c r="D243" s="1872"/>
      <c r="E243" s="1872"/>
      <c r="F243" s="1871">
        <f>G243</f>
        <v>0</v>
      </c>
      <c r="G243" s="1873"/>
      <c r="H243" s="1872"/>
    </row>
    <row r="244" spans="1:8" ht="64.5" thickBot="1">
      <c r="A244" s="1803" t="s">
        <v>2909</v>
      </c>
      <c r="B244" s="1804" t="s">
        <v>2949</v>
      </c>
      <c r="C244" s="1805">
        <f>D244+E244</f>
        <v>0</v>
      </c>
      <c r="D244" s="1806">
        <f>D245</f>
        <v>0</v>
      </c>
      <c r="E244" s="1806">
        <f>E245</f>
        <v>0</v>
      </c>
      <c r="F244" s="1805">
        <f>G244+H244</f>
        <v>0</v>
      </c>
      <c r="G244" s="1807">
        <f>G245</f>
        <v>0</v>
      </c>
      <c r="H244" s="1808">
        <f>H245</f>
        <v>0</v>
      </c>
    </row>
    <row r="245" spans="1:8" ht="17.25" thickBot="1">
      <c r="A245" s="1809" t="s">
        <v>100</v>
      </c>
      <c r="B245" s="1810" t="s">
        <v>2950</v>
      </c>
      <c r="C245" s="1811">
        <f>D245+E245</f>
        <v>0</v>
      </c>
      <c r="D245" s="1812"/>
      <c r="E245" s="1812"/>
      <c r="F245" s="1811">
        <f>G245+H245</f>
        <v>0</v>
      </c>
      <c r="G245" s="1813"/>
      <c r="H245" s="1813"/>
    </row>
    <row r="246" spans="1:8" ht="32.25" thickBot="1">
      <c r="A246" s="1537" t="s">
        <v>124</v>
      </c>
      <c r="B246" s="1538" t="s">
        <v>125</v>
      </c>
      <c r="C246" s="1208">
        <f t="shared" si="5"/>
        <v>0</v>
      </c>
      <c r="D246" s="1274">
        <f>D247</f>
        <v>0</v>
      </c>
      <c r="E246" s="1274">
        <f>SUM(E247:E247)</f>
        <v>0</v>
      </c>
      <c r="F246" s="1208">
        <f t="shared" si="6"/>
        <v>0</v>
      </c>
      <c r="G246" s="1274">
        <f>SUM(G247:G247)</f>
        <v>0</v>
      </c>
      <c r="H246" s="1281">
        <f>SUM(H247:H247)</f>
        <v>0</v>
      </c>
    </row>
    <row r="247" spans="1:8" ht="27" thickBot="1">
      <c r="A247" s="9" t="s">
        <v>1469</v>
      </c>
      <c r="B247" s="357" t="s">
        <v>2951</v>
      </c>
      <c r="C247" s="151">
        <f t="shared" si="5"/>
        <v>0</v>
      </c>
      <c r="D247" s="544"/>
      <c r="E247" s="1397"/>
      <c r="F247" s="151">
        <f t="shared" si="6"/>
        <v>0</v>
      </c>
      <c r="G247" s="109"/>
      <c r="H247" s="1174"/>
    </row>
    <row r="248" spans="1:8" ht="17.25" thickBot="1">
      <c r="A248" s="1294" t="s">
        <v>128</v>
      </c>
      <c r="B248" s="1295" t="s">
        <v>1361</v>
      </c>
      <c r="C248" s="104">
        <f t="shared" si="5"/>
        <v>0</v>
      </c>
      <c r="D248" s="129">
        <f>SUM(D249)</f>
        <v>0</v>
      </c>
      <c r="E248" s="140">
        <f>SUM(E249)</f>
        <v>0</v>
      </c>
      <c r="F248" s="104">
        <f t="shared" si="6"/>
        <v>0</v>
      </c>
      <c r="G248" s="129">
        <f>SUM(G249)</f>
        <v>0</v>
      </c>
      <c r="H248" s="140">
        <f>SUM(H249)</f>
        <v>0</v>
      </c>
    </row>
    <row r="249" spans="1:8" ht="17.25" thickBot="1">
      <c r="A249" s="1199" t="s">
        <v>95</v>
      </c>
      <c r="B249" s="1296" t="s">
        <v>1421</v>
      </c>
      <c r="C249" s="113">
        <f t="shared" si="5"/>
        <v>0</v>
      </c>
      <c r="D249" s="130"/>
      <c r="E249" s="1398"/>
      <c r="F249" s="113">
        <f t="shared" si="6"/>
        <v>0</v>
      </c>
      <c r="G249" s="166"/>
      <c r="H249" s="1402"/>
    </row>
    <row r="250" spans="1:8" ht="16.5" thickBot="1">
      <c r="A250" s="1627"/>
      <c r="B250" s="1256" t="s">
        <v>562</v>
      </c>
      <c r="C250" s="1628">
        <f>D250+E250</f>
        <v>0</v>
      </c>
      <c r="D250" s="1629">
        <f>D251+D267+D284+D287+D301+D312+D314+D315+D329</f>
        <v>0</v>
      </c>
      <c r="E250" s="1629">
        <f>E251+E267+E284+E287+E301+E312+E314+E315</f>
        <v>0</v>
      </c>
      <c r="F250" s="1628">
        <f>G250+H250</f>
        <v>0</v>
      </c>
      <c r="G250" s="1629">
        <f>G251+G267+G284+G287+G301+G312+G314+G315+G329</f>
        <v>0</v>
      </c>
      <c r="H250" s="1629">
        <f>H251+H267+H284+H287+H301+H312+H314+H315</f>
        <v>0</v>
      </c>
    </row>
    <row r="251" spans="1:8" ht="32.25" thickBot="1">
      <c r="A251" s="1289" t="s">
        <v>129</v>
      </c>
      <c r="B251" s="1269" t="s">
        <v>2006</v>
      </c>
      <c r="C251" s="1280">
        <f t="shared" si="5"/>
        <v>0</v>
      </c>
      <c r="D251" s="1274">
        <f>SUM(D252:D266)</f>
        <v>0</v>
      </c>
      <c r="E251" s="1274">
        <f>SUM(E252:E266)</f>
        <v>0</v>
      </c>
      <c r="F251" s="1280">
        <f t="shared" si="6"/>
        <v>0</v>
      </c>
      <c r="G251" s="1274">
        <f>SUM(G252:G266)</f>
        <v>0</v>
      </c>
      <c r="H251" s="1281">
        <f>SUM(H252:H266)</f>
        <v>0</v>
      </c>
    </row>
    <row r="252" spans="1:8" ht="16.5">
      <c r="A252" s="17" t="s">
        <v>77</v>
      </c>
      <c r="B252" s="34" t="s">
        <v>1422</v>
      </c>
      <c r="C252" s="113">
        <f t="shared" si="5"/>
        <v>0</v>
      </c>
      <c r="D252" s="96"/>
      <c r="E252" s="1397"/>
      <c r="F252" s="113">
        <f t="shared" si="6"/>
        <v>0</v>
      </c>
      <c r="G252" s="109"/>
      <c r="H252" s="1403"/>
    </row>
    <row r="253" spans="1:8" ht="16.5">
      <c r="A253" s="18" t="s">
        <v>81</v>
      </c>
      <c r="B253" s="34" t="s">
        <v>1424</v>
      </c>
      <c r="C253" s="98">
        <f t="shared" si="5"/>
        <v>0</v>
      </c>
      <c r="D253" s="99"/>
      <c r="E253" s="1396"/>
      <c r="F253" s="98">
        <f t="shared" si="6"/>
        <v>0</v>
      </c>
      <c r="G253" s="111"/>
      <c r="H253" s="1404"/>
    </row>
    <row r="254" spans="1:8" ht="16.5">
      <c r="A254" s="18" t="s">
        <v>79</v>
      </c>
      <c r="B254" s="34" t="s">
        <v>1423</v>
      </c>
      <c r="C254" s="98">
        <f t="shared" si="5"/>
        <v>0</v>
      </c>
      <c r="D254" s="99"/>
      <c r="E254" s="1396"/>
      <c r="F254" s="98">
        <f t="shared" si="6"/>
        <v>0</v>
      </c>
      <c r="G254" s="111"/>
      <c r="H254" s="1404"/>
    </row>
    <row r="255" spans="1:8" ht="16.5">
      <c r="A255" s="18" t="s">
        <v>83</v>
      </c>
      <c r="B255" s="34" t="s">
        <v>1425</v>
      </c>
      <c r="C255" s="98">
        <f t="shared" si="5"/>
        <v>0</v>
      </c>
      <c r="D255" s="99"/>
      <c r="E255" s="1396"/>
      <c r="F255" s="98">
        <f t="shared" si="6"/>
        <v>0</v>
      </c>
      <c r="G255" s="111"/>
      <c r="H255" s="1404"/>
    </row>
    <row r="256" spans="1:8" ht="16.5">
      <c r="A256" s="18" t="s">
        <v>91</v>
      </c>
      <c r="B256" s="34" t="s">
        <v>2952</v>
      </c>
      <c r="C256" s="98">
        <f t="shared" si="5"/>
        <v>0</v>
      </c>
      <c r="D256" s="99"/>
      <c r="E256" s="1396"/>
      <c r="F256" s="98">
        <f t="shared" si="6"/>
        <v>0</v>
      </c>
      <c r="G256" s="111"/>
      <c r="H256" s="1404"/>
    </row>
    <row r="257" spans="1:8" ht="16.5">
      <c r="A257" s="1797" t="s">
        <v>97</v>
      </c>
      <c r="B257" s="34" t="s">
        <v>2003</v>
      </c>
      <c r="C257" s="98">
        <f t="shared" si="5"/>
        <v>0</v>
      </c>
      <c r="D257" s="99"/>
      <c r="E257" s="1396"/>
      <c r="F257" s="98">
        <f t="shared" si="6"/>
        <v>0</v>
      </c>
      <c r="G257" s="111"/>
      <c r="H257" s="1404"/>
    </row>
    <row r="258" spans="1:8" ht="16.5">
      <c r="A258" s="1798" t="s">
        <v>100</v>
      </c>
      <c r="B258" s="34" t="s">
        <v>1376</v>
      </c>
      <c r="C258" s="98">
        <f t="shared" ref="C258:C266" si="12">D258+E258</f>
        <v>0</v>
      </c>
      <c r="D258" s="99"/>
      <c r="E258" s="1396"/>
      <c r="F258" s="98">
        <f t="shared" ref="F258:F266" si="13">G258+H258</f>
        <v>0</v>
      </c>
      <c r="G258" s="111"/>
      <c r="H258" s="1404"/>
    </row>
    <row r="259" spans="1:8" ht="16.5">
      <c r="A259" s="18" t="s">
        <v>89</v>
      </c>
      <c r="B259" s="34" t="s">
        <v>1426</v>
      </c>
      <c r="C259" s="98">
        <f t="shared" si="12"/>
        <v>0</v>
      </c>
      <c r="D259" s="99"/>
      <c r="E259" s="1396"/>
      <c r="F259" s="98">
        <f t="shared" si="13"/>
        <v>0</v>
      </c>
      <c r="G259" s="111"/>
      <c r="H259" s="1404"/>
    </row>
    <row r="260" spans="1:8" ht="16.5">
      <c r="A260" s="18" t="s">
        <v>91</v>
      </c>
      <c r="B260" s="34" t="s">
        <v>2953</v>
      </c>
      <c r="C260" s="98">
        <f t="shared" si="12"/>
        <v>0</v>
      </c>
      <c r="D260" s="99"/>
      <c r="E260" s="1396"/>
      <c r="F260" s="98">
        <f t="shared" si="13"/>
        <v>0</v>
      </c>
      <c r="G260" s="111"/>
      <c r="H260" s="1404"/>
    </row>
    <row r="261" spans="1:8" ht="16.5">
      <c r="A261" s="18" t="s">
        <v>87</v>
      </c>
      <c r="B261" s="34" t="s">
        <v>2954</v>
      </c>
      <c r="C261" s="98">
        <f t="shared" si="12"/>
        <v>0</v>
      </c>
      <c r="D261" s="99"/>
      <c r="E261" s="1396"/>
      <c r="F261" s="98">
        <f t="shared" si="13"/>
        <v>0</v>
      </c>
      <c r="G261" s="111"/>
      <c r="H261" s="1404"/>
    </row>
    <row r="262" spans="1:8" ht="16.5">
      <c r="A262" s="18" t="s">
        <v>89</v>
      </c>
      <c r="B262" s="34" t="s">
        <v>1427</v>
      </c>
      <c r="C262" s="98">
        <f t="shared" si="12"/>
        <v>0</v>
      </c>
      <c r="D262" s="99"/>
      <c r="E262" s="1396"/>
      <c r="F262" s="98">
        <f t="shared" si="13"/>
        <v>0</v>
      </c>
      <c r="G262" s="111"/>
      <c r="H262" s="1404"/>
    </row>
    <row r="263" spans="1:8" ht="16.5">
      <c r="A263" s="18" t="s">
        <v>91</v>
      </c>
      <c r="B263" s="34" t="s">
        <v>1428</v>
      </c>
      <c r="C263" s="98">
        <f t="shared" si="12"/>
        <v>0</v>
      </c>
      <c r="D263" s="99"/>
      <c r="E263" s="1396"/>
      <c r="F263" s="98">
        <f t="shared" si="13"/>
        <v>0</v>
      </c>
      <c r="G263" s="111"/>
      <c r="H263" s="1404"/>
    </row>
    <row r="264" spans="1:8" ht="16.5">
      <c r="A264" s="1797" t="s">
        <v>97</v>
      </c>
      <c r="B264" s="34" t="s">
        <v>2004</v>
      </c>
      <c r="C264" s="98">
        <f t="shared" si="12"/>
        <v>0</v>
      </c>
      <c r="D264" s="99"/>
      <c r="E264" s="1396"/>
      <c r="F264" s="98">
        <f t="shared" si="13"/>
        <v>0</v>
      </c>
      <c r="G264" s="111"/>
      <c r="H264" s="1404"/>
    </row>
    <row r="265" spans="1:8" ht="16.5">
      <c r="A265" s="1798" t="s">
        <v>100</v>
      </c>
      <c r="B265" s="34" t="s">
        <v>2005</v>
      </c>
      <c r="C265" s="98">
        <f t="shared" si="12"/>
        <v>0</v>
      </c>
      <c r="D265" s="99"/>
      <c r="E265" s="1396"/>
      <c r="F265" s="98">
        <f t="shared" si="13"/>
        <v>0</v>
      </c>
      <c r="G265" s="111"/>
      <c r="H265" s="1404"/>
    </row>
    <row r="266" spans="1:8" ht="17.25" thickBot="1">
      <c r="A266" s="18" t="s">
        <v>95</v>
      </c>
      <c r="B266" s="34" t="s">
        <v>2002</v>
      </c>
      <c r="C266" s="98">
        <f t="shared" si="12"/>
        <v>0</v>
      </c>
      <c r="D266" s="99"/>
      <c r="E266" s="1396"/>
      <c r="F266" s="98">
        <f t="shared" si="13"/>
        <v>0</v>
      </c>
      <c r="G266" s="111"/>
      <c r="H266" s="1404"/>
    </row>
    <row r="267" spans="1:8" ht="27" thickBot="1">
      <c r="A267" s="1800" t="s">
        <v>370</v>
      </c>
      <c r="B267" s="428" t="s">
        <v>371</v>
      </c>
      <c r="C267" s="104">
        <f>D267</f>
        <v>0</v>
      </c>
      <c r="D267" s="105">
        <f>SUM(D268:D283)</f>
        <v>0</v>
      </c>
      <c r="E267" s="140"/>
      <c r="F267" s="104">
        <f>G267</f>
        <v>0</v>
      </c>
      <c r="G267" s="107">
        <f>SUM(G268:G283)</f>
        <v>0</v>
      </c>
      <c r="H267" s="1880"/>
    </row>
    <row r="268" spans="1:8" ht="16.5">
      <c r="A268" s="17" t="s">
        <v>77</v>
      </c>
      <c r="B268" s="1103" t="s">
        <v>372</v>
      </c>
      <c r="C268" s="113">
        <f>D268</f>
        <v>0</v>
      </c>
      <c r="D268" s="121"/>
      <c r="E268" s="1398"/>
      <c r="F268" s="113">
        <f>G268</f>
        <v>0</v>
      </c>
      <c r="G268" s="122"/>
      <c r="H268" s="1539"/>
    </row>
    <row r="269" spans="1:8" ht="16.5">
      <c r="A269" s="18" t="s">
        <v>81</v>
      </c>
      <c r="B269" s="31" t="s">
        <v>373</v>
      </c>
      <c r="C269" s="98">
        <f>D269</f>
        <v>0</v>
      </c>
      <c r="D269" s="99"/>
      <c r="E269" s="1396"/>
      <c r="F269" s="98">
        <f>G269</f>
        <v>0</v>
      </c>
      <c r="G269" s="111"/>
      <c r="H269" s="1396"/>
    </row>
    <row r="270" spans="1:8" ht="16.5">
      <c r="A270" s="18" t="s">
        <v>79</v>
      </c>
      <c r="B270" s="31" t="s">
        <v>374</v>
      </c>
      <c r="C270" s="98">
        <f t="shared" ref="C270:C282" si="14">D270</f>
        <v>0</v>
      </c>
      <c r="D270" s="99"/>
      <c r="E270" s="1396"/>
      <c r="F270" s="98">
        <f t="shared" ref="F270:F283" si="15">G270</f>
        <v>0</v>
      </c>
      <c r="G270" s="111"/>
      <c r="H270" s="1396"/>
    </row>
    <row r="271" spans="1:8" ht="16.5">
      <c r="A271" s="18" t="s">
        <v>83</v>
      </c>
      <c r="B271" s="31" t="s">
        <v>375</v>
      </c>
      <c r="C271" s="98">
        <f t="shared" si="14"/>
        <v>0</v>
      </c>
      <c r="D271" s="99"/>
      <c r="E271" s="1396"/>
      <c r="F271" s="98">
        <f t="shared" si="15"/>
        <v>0</v>
      </c>
      <c r="G271" s="111"/>
      <c r="H271" s="1396"/>
    </row>
    <row r="272" spans="1:8" ht="16.5">
      <c r="A272" s="18" t="s">
        <v>89</v>
      </c>
      <c r="B272" s="31" t="s">
        <v>376</v>
      </c>
      <c r="C272" s="98">
        <f t="shared" si="14"/>
        <v>0</v>
      </c>
      <c r="D272" s="99"/>
      <c r="E272" s="1396"/>
      <c r="F272" s="98">
        <f t="shared" si="15"/>
        <v>0</v>
      </c>
      <c r="G272" s="111"/>
      <c r="H272" s="1396"/>
    </row>
    <row r="273" spans="1:8" ht="16.5">
      <c r="A273" s="18" t="s">
        <v>91</v>
      </c>
      <c r="B273" s="31" t="s">
        <v>377</v>
      </c>
      <c r="C273" s="98">
        <f t="shared" si="14"/>
        <v>0</v>
      </c>
      <c r="D273" s="99"/>
      <c r="E273" s="1396"/>
      <c r="F273" s="98">
        <f t="shared" si="15"/>
        <v>0</v>
      </c>
      <c r="G273" s="111"/>
      <c r="H273" s="1396"/>
    </row>
    <row r="274" spans="1:8" ht="16.5">
      <c r="A274" s="1797" t="s">
        <v>97</v>
      </c>
      <c r="B274" s="31" t="s">
        <v>567</v>
      </c>
      <c r="C274" s="98">
        <f t="shared" si="14"/>
        <v>0</v>
      </c>
      <c r="D274" s="99"/>
      <c r="E274" s="1396"/>
      <c r="F274" s="98">
        <f t="shared" si="15"/>
        <v>0</v>
      </c>
      <c r="G274" s="111"/>
      <c r="H274" s="1396"/>
    </row>
    <row r="275" spans="1:8" ht="16.5">
      <c r="A275" s="1798" t="s">
        <v>100</v>
      </c>
      <c r="B275" s="31" t="s">
        <v>378</v>
      </c>
      <c r="C275" s="98">
        <f t="shared" si="14"/>
        <v>0</v>
      </c>
      <c r="D275" s="99"/>
      <c r="E275" s="1396"/>
      <c r="F275" s="98">
        <f t="shared" si="15"/>
        <v>0</v>
      </c>
      <c r="G275" s="111"/>
      <c r="H275" s="1396"/>
    </row>
    <row r="276" spans="1:8" ht="16.5">
      <c r="A276" s="18" t="s">
        <v>89</v>
      </c>
      <c r="B276" s="31" t="s">
        <v>2955</v>
      </c>
      <c r="C276" s="98">
        <f t="shared" si="14"/>
        <v>0</v>
      </c>
      <c r="D276" s="99"/>
      <c r="E276" s="1396"/>
      <c r="F276" s="98">
        <f t="shared" si="15"/>
        <v>0</v>
      </c>
      <c r="G276" s="111"/>
      <c r="H276" s="1396"/>
    </row>
    <row r="277" spans="1:8" ht="16.5">
      <c r="A277" s="18" t="s">
        <v>91</v>
      </c>
      <c r="B277" s="31" t="s">
        <v>379</v>
      </c>
      <c r="C277" s="98">
        <f t="shared" si="14"/>
        <v>0</v>
      </c>
      <c r="D277" s="99"/>
      <c r="E277" s="1396"/>
      <c r="F277" s="98">
        <f t="shared" si="15"/>
        <v>0</v>
      </c>
      <c r="G277" s="111"/>
      <c r="H277" s="1396"/>
    </row>
    <row r="278" spans="1:8" ht="16.5">
      <c r="A278" s="18" t="s">
        <v>87</v>
      </c>
      <c r="B278" s="31" t="s">
        <v>2956</v>
      </c>
      <c r="C278" s="98">
        <f t="shared" si="14"/>
        <v>0</v>
      </c>
      <c r="D278" s="99"/>
      <c r="E278" s="1396"/>
      <c r="F278" s="98">
        <f t="shared" si="15"/>
        <v>0</v>
      </c>
      <c r="G278" s="111"/>
      <c r="H278" s="1396"/>
    </row>
    <row r="279" spans="1:8" ht="16.5">
      <c r="A279" s="18" t="s">
        <v>89</v>
      </c>
      <c r="B279" s="31" t="s">
        <v>380</v>
      </c>
      <c r="C279" s="98">
        <f t="shared" si="14"/>
        <v>0</v>
      </c>
      <c r="D279" s="99"/>
      <c r="E279" s="1396"/>
      <c r="F279" s="98">
        <f t="shared" si="15"/>
        <v>0</v>
      </c>
      <c r="G279" s="111"/>
      <c r="H279" s="1396"/>
    </row>
    <row r="280" spans="1:8" ht="16.5">
      <c r="A280" s="18" t="s">
        <v>91</v>
      </c>
      <c r="B280" s="31" t="s">
        <v>381</v>
      </c>
      <c r="C280" s="98">
        <f t="shared" si="14"/>
        <v>0</v>
      </c>
      <c r="D280" s="99"/>
      <c r="E280" s="1396"/>
      <c r="F280" s="98">
        <f t="shared" si="15"/>
        <v>0</v>
      </c>
      <c r="G280" s="111"/>
      <c r="H280" s="1396"/>
    </row>
    <row r="281" spans="1:8" ht="16.5">
      <c r="A281" s="1797" t="s">
        <v>97</v>
      </c>
      <c r="B281" s="31" t="s">
        <v>382</v>
      </c>
      <c r="C281" s="98">
        <f t="shared" si="14"/>
        <v>0</v>
      </c>
      <c r="D281" s="99"/>
      <c r="E281" s="1396"/>
      <c r="F281" s="98">
        <f t="shared" si="15"/>
        <v>0</v>
      </c>
      <c r="G281" s="111"/>
      <c r="H281" s="1396"/>
    </row>
    <row r="282" spans="1:8" ht="16.5">
      <c r="A282" s="1798" t="s">
        <v>100</v>
      </c>
      <c r="B282" s="31" t="s">
        <v>383</v>
      </c>
      <c r="C282" s="98">
        <f t="shared" si="14"/>
        <v>0</v>
      </c>
      <c r="D282" s="99"/>
      <c r="E282" s="1396"/>
      <c r="F282" s="98">
        <f t="shared" si="15"/>
        <v>0</v>
      </c>
      <c r="G282" s="111"/>
      <c r="H282" s="1396"/>
    </row>
    <row r="283" spans="1:8" ht="17.25" thickBot="1">
      <c r="A283" s="19" t="s">
        <v>95</v>
      </c>
      <c r="B283" s="36" t="s">
        <v>384</v>
      </c>
      <c r="C283" s="149">
        <f>D283</f>
        <v>0</v>
      </c>
      <c r="D283" s="121"/>
      <c r="E283" s="1398"/>
      <c r="F283" s="149">
        <f t="shared" si="15"/>
        <v>0</v>
      </c>
      <c r="G283" s="122"/>
      <c r="H283" s="1539"/>
    </row>
    <row r="284" spans="1:8" ht="39.75" thickBot="1">
      <c r="A284" s="1831" t="s">
        <v>1068</v>
      </c>
      <c r="B284" s="1832" t="s">
        <v>2957</v>
      </c>
      <c r="C284" s="1833">
        <f>D284+E284</f>
        <v>0</v>
      </c>
      <c r="D284" s="1834">
        <f>D285+D286</f>
        <v>0</v>
      </c>
      <c r="E284" s="1834"/>
      <c r="F284" s="1833">
        <f>G284+H284</f>
        <v>0</v>
      </c>
      <c r="G284" s="1835">
        <f>G285+G286</f>
        <v>0</v>
      </c>
      <c r="H284" s="1865"/>
    </row>
    <row r="285" spans="1:8" ht="16.5">
      <c r="A285" s="1837" t="s">
        <v>77</v>
      </c>
      <c r="B285" s="1838" t="s">
        <v>2958</v>
      </c>
      <c r="C285" s="1839">
        <f>D285+E285</f>
        <v>0</v>
      </c>
      <c r="D285" s="1840"/>
      <c r="E285" s="1840"/>
      <c r="F285" s="1839">
        <f>G285+H285</f>
        <v>0</v>
      </c>
      <c r="G285" s="1841"/>
      <c r="H285" s="1840"/>
    </row>
    <row r="286" spans="1:8" ht="17.25" thickBot="1">
      <c r="A286" s="1837" t="s">
        <v>77</v>
      </c>
      <c r="B286" s="1838" t="s">
        <v>2959</v>
      </c>
      <c r="C286" s="1839">
        <f>D286</f>
        <v>0</v>
      </c>
      <c r="D286" s="1840"/>
      <c r="E286" s="1840"/>
      <c r="F286" s="1839">
        <f>G286</f>
        <v>0</v>
      </c>
      <c r="G286" s="1841"/>
      <c r="H286" s="1840"/>
    </row>
    <row r="287" spans="1:8" ht="124.5" customHeight="1" thickBot="1">
      <c r="A287" s="1297" t="s">
        <v>253</v>
      </c>
      <c r="B287" s="1306" t="s">
        <v>1377</v>
      </c>
      <c r="C287" s="1307">
        <f>D287+E287</f>
        <v>0</v>
      </c>
      <c r="D287" s="1301">
        <f>SUM(D288:D300)</f>
        <v>0</v>
      </c>
      <c r="E287" s="1301">
        <f>SUM(E288:E300)</f>
        <v>0</v>
      </c>
      <c r="F287" s="1302">
        <f>G287+H287</f>
        <v>0</v>
      </c>
      <c r="G287" s="1301">
        <f>SUM(G288:G300)</f>
        <v>0</v>
      </c>
      <c r="H287" s="1301">
        <f>SUM(H288:H300)</f>
        <v>0</v>
      </c>
    </row>
    <row r="288" spans="1:8" ht="16.5">
      <c r="A288" s="17" t="s">
        <v>77</v>
      </c>
      <c r="B288" s="43" t="s">
        <v>1378</v>
      </c>
      <c r="C288" s="151">
        <f>D288+E288</f>
        <v>0</v>
      </c>
      <c r="D288" s="109"/>
      <c r="E288" s="1397"/>
      <c r="F288" s="151">
        <f t="shared" ref="F288:F328" si="16">G288+H288</f>
        <v>0</v>
      </c>
      <c r="G288" s="109"/>
      <c r="H288" s="1397"/>
    </row>
    <row r="289" spans="1:8" ht="16.5">
      <c r="A289" s="18" t="s">
        <v>81</v>
      </c>
      <c r="B289" s="43" t="s">
        <v>1380</v>
      </c>
      <c r="C289" s="151">
        <f t="shared" ref="C289:C328" si="17">D289+E289</f>
        <v>0</v>
      </c>
      <c r="D289" s="111"/>
      <c r="E289" s="1396"/>
      <c r="F289" s="98">
        <f t="shared" si="16"/>
        <v>0</v>
      </c>
      <c r="G289" s="111"/>
      <c r="H289" s="1396"/>
    </row>
    <row r="290" spans="1:8" ht="16.5">
      <c r="A290" s="18" t="s">
        <v>79</v>
      </c>
      <c r="B290" s="43" t="s">
        <v>1379</v>
      </c>
      <c r="C290" s="151">
        <f t="shared" si="17"/>
        <v>0</v>
      </c>
      <c r="D290" s="111"/>
      <c r="E290" s="1396"/>
      <c r="F290" s="98">
        <f t="shared" si="16"/>
        <v>0</v>
      </c>
      <c r="G290" s="111"/>
      <c r="H290" s="1396"/>
    </row>
    <row r="291" spans="1:8" ht="16.5">
      <c r="A291" s="18" t="s">
        <v>83</v>
      </c>
      <c r="B291" s="43" t="s">
        <v>1381</v>
      </c>
      <c r="C291" s="151">
        <f t="shared" si="17"/>
        <v>0</v>
      </c>
      <c r="D291" s="111"/>
      <c r="E291" s="1396"/>
      <c r="F291" s="98">
        <f t="shared" si="16"/>
        <v>0</v>
      </c>
      <c r="G291" s="111"/>
      <c r="H291" s="1396"/>
    </row>
    <row r="292" spans="1:8" ht="16.5">
      <c r="A292" s="18" t="s">
        <v>91</v>
      </c>
      <c r="B292" s="43" t="s">
        <v>1385</v>
      </c>
      <c r="C292" s="151">
        <f t="shared" si="17"/>
        <v>0</v>
      </c>
      <c r="D292" s="111"/>
      <c r="E292" s="1396"/>
      <c r="F292" s="98">
        <f t="shared" si="16"/>
        <v>0</v>
      </c>
      <c r="G292" s="111"/>
      <c r="H292" s="1396"/>
    </row>
    <row r="293" spans="1:8" ht="16.5">
      <c r="A293" s="419" t="s">
        <v>97</v>
      </c>
      <c r="B293" s="43" t="s">
        <v>1387</v>
      </c>
      <c r="C293" s="151">
        <f t="shared" si="17"/>
        <v>0</v>
      </c>
      <c r="D293" s="111"/>
      <c r="E293" s="1396"/>
      <c r="F293" s="98">
        <f t="shared" si="16"/>
        <v>0</v>
      </c>
      <c r="G293" s="111"/>
      <c r="H293" s="1396"/>
    </row>
    <row r="294" spans="1:8" ht="16.5">
      <c r="A294" s="420" t="s">
        <v>100</v>
      </c>
      <c r="B294" s="43" t="s">
        <v>1389</v>
      </c>
      <c r="C294" s="151">
        <f t="shared" si="17"/>
        <v>0</v>
      </c>
      <c r="D294" s="111"/>
      <c r="E294" s="1396"/>
      <c r="F294" s="98">
        <f t="shared" si="16"/>
        <v>0</v>
      </c>
      <c r="G294" s="111"/>
      <c r="H294" s="1396"/>
    </row>
    <row r="295" spans="1:8" ht="16.5">
      <c r="A295" s="18" t="s">
        <v>83</v>
      </c>
      <c r="B295" s="43" t="s">
        <v>1382</v>
      </c>
      <c r="C295" s="151">
        <f t="shared" si="17"/>
        <v>0</v>
      </c>
      <c r="D295" s="111"/>
      <c r="E295" s="1396"/>
      <c r="F295" s="98">
        <f t="shared" si="16"/>
        <v>0</v>
      </c>
      <c r="G295" s="111"/>
      <c r="H295" s="1396"/>
    </row>
    <row r="296" spans="1:8" ht="16.5">
      <c r="A296" s="18" t="s">
        <v>85</v>
      </c>
      <c r="B296" s="43" t="s">
        <v>1383</v>
      </c>
      <c r="C296" s="151">
        <f t="shared" si="17"/>
        <v>0</v>
      </c>
      <c r="D296" s="111"/>
      <c r="E296" s="1396"/>
      <c r="F296" s="98">
        <f t="shared" si="16"/>
        <v>0</v>
      </c>
      <c r="G296" s="111"/>
      <c r="H296" s="1396"/>
    </row>
    <row r="297" spans="1:8" ht="16.5">
      <c r="A297" s="419" t="s">
        <v>87</v>
      </c>
      <c r="B297" s="43" t="s">
        <v>1384</v>
      </c>
      <c r="C297" s="151">
        <f t="shared" si="17"/>
        <v>0</v>
      </c>
      <c r="D297" s="111"/>
      <c r="E297" s="1396"/>
      <c r="F297" s="98">
        <f t="shared" si="16"/>
        <v>0</v>
      </c>
      <c r="G297" s="111"/>
      <c r="H297" s="1396"/>
    </row>
    <row r="298" spans="1:8" ht="16.5">
      <c r="A298" s="18" t="s">
        <v>91</v>
      </c>
      <c r="B298" s="43" t="s">
        <v>1386</v>
      </c>
      <c r="C298" s="151">
        <f>D298+E298</f>
        <v>0</v>
      </c>
      <c r="D298" s="111"/>
      <c r="E298" s="1396"/>
      <c r="F298" s="98">
        <f>G298+H298</f>
        <v>0</v>
      </c>
      <c r="G298" s="111"/>
      <c r="H298" s="1396"/>
    </row>
    <row r="299" spans="1:8" ht="16.5">
      <c r="A299" s="419" t="s">
        <v>97</v>
      </c>
      <c r="B299" s="43" t="s">
        <v>1388</v>
      </c>
      <c r="C299" s="151">
        <f t="shared" si="17"/>
        <v>0</v>
      </c>
      <c r="D299" s="111"/>
      <c r="E299" s="1396"/>
      <c r="F299" s="98">
        <f t="shared" si="16"/>
        <v>0</v>
      </c>
      <c r="G299" s="111"/>
      <c r="H299" s="1396"/>
    </row>
    <row r="300" spans="1:8" ht="17.25" thickBot="1">
      <c r="A300" s="420" t="s">
        <v>100</v>
      </c>
      <c r="B300" s="43" t="s">
        <v>2960</v>
      </c>
      <c r="C300" s="151">
        <f t="shared" si="17"/>
        <v>0</v>
      </c>
      <c r="D300" s="111"/>
      <c r="E300" s="1396"/>
      <c r="F300" s="98">
        <f t="shared" si="16"/>
        <v>0</v>
      </c>
      <c r="G300" s="111"/>
      <c r="H300" s="1396"/>
    </row>
    <row r="301" spans="1:8" ht="111" thickBot="1">
      <c r="A301" s="1304" t="s">
        <v>254</v>
      </c>
      <c r="B301" s="1305" t="s">
        <v>2965</v>
      </c>
      <c r="C301" s="1300">
        <f t="shared" si="17"/>
        <v>0</v>
      </c>
      <c r="D301" s="1301">
        <f>SUM(D302:D311)</f>
        <v>0</v>
      </c>
      <c r="E301" s="1301">
        <f>SUM(E302:E311)</f>
        <v>0</v>
      </c>
      <c r="F301" s="1302">
        <f t="shared" si="16"/>
        <v>0</v>
      </c>
      <c r="G301" s="1301">
        <f>SUM(G302:G311)</f>
        <v>0</v>
      </c>
      <c r="H301" s="1301">
        <f>SUM(H302:H311)</f>
        <v>0</v>
      </c>
    </row>
    <row r="302" spans="1:8" ht="16.5">
      <c r="A302" s="418" t="s">
        <v>77</v>
      </c>
      <c r="B302" s="357" t="s">
        <v>2966</v>
      </c>
      <c r="C302" s="151">
        <f t="shared" si="17"/>
        <v>0</v>
      </c>
      <c r="D302" s="109"/>
      <c r="E302" s="1397"/>
      <c r="F302" s="151">
        <f t="shared" si="16"/>
        <v>0</v>
      </c>
      <c r="G302" s="109"/>
      <c r="H302" s="1397"/>
    </row>
    <row r="303" spans="1:8" ht="16.5">
      <c r="A303" s="18" t="s">
        <v>81</v>
      </c>
      <c r="B303" s="43" t="s">
        <v>2967</v>
      </c>
      <c r="C303" s="151">
        <f t="shared" si="17"/>
        <v>0</v>
      </c>
      <c r="D303" s="111"/>
      <c r="E303" s="1396"/>
      <c r="F303" s="98">
        <f t="shared" si="16"/>
        <v>0</v>
      </c>
      <c r="G303" s="111"/>
      <c r="H303" s="1396"/>
    </row>
    <row r="304" spans="1:8" ht="16.5">
      <c r="A304" s="419" t="s">
        <v>83</v>
      </c>
      <c r="B304" s="43" t="s">
        <v>2968</v>
      </c>
      <c r="C304" s="151">
        <f t="shared" si="17"/>
        <v>0</v>
      </c>
      <c r="D304" s="111"/>
      <c r="E304" s="1396"/>
      <c r="F304" s="98">
        <f t="shared" si="16"/>
        <v>0</v>
      </c>
      <c r="G304" s="111"/>
      <c r="H304" s="1396"/>
    </row>
    <row r="305" spans="1:8" ht="16.5">
      <c r="A305" s="419" t="s">
        <v>91</v>
      </c>
      <c r="B305" s="43" t="s">
        <v>2969</v>
      </c>
      <c r="C305" s="151">
        <f>D305+E305</f>
        <v>0</v>
      </c>
      <c r="D305" s="111"/>
      <c r="E305" s="1396"/>
      <c r="F305" s="98">
        <f>G305+H305</f>
        <v>0</v>
      </c>
      <c r="G305" s="111"/>
      <c r="H305" s="1396"/>
    </row>
    <row r="306" spans="1:8" ht="16.5">
      <c r="A306" s="419" t="s">
        <v>97</v>
      </c>
      <c r="B306" s="43" t="s">
        <v>2970</v>
      </c>
      <c r="C306" s="151">
        <f t="shared" si="17"/>
        <v>0</v>
      </c>
      <c r="D306" s="111"/>
      <c r="E306" s="1396"/>
      <c r="F306" s="98">
        <f t="shared" si="16"/>
        <v>0</v>
      </c>
      <c r="G306" s="111"/>
      <c r="H306" s="1396"/>
    </row>
    <row r="307" spans="1:8" ht="16.5">
      <c r="A307" s="420" t="s">
        <v>100</v>
      </c>
      <c r="B307" s="43" t="s">
        <v>2971</v>
      </c>
      <c r="C307" s="151">
        <f t="shared" si="17"/>
        <v>0</v>
      </c>
      <c r="D307" s="111"/>
      <c r="E307" s="1396"/>
      <c r="F307" s="98">
        <f t="shared" si="16"/>
        <v>0</v>
      </c>
      <c r="G307" s="111"/>
      <c r="H307" s="1396"/>
    </row>
    <row r="308" spans="1:8" ht="16.5">
      <c r="A308" s="419" t="s">
        <v>83</v>
      </c>
      <c r="B308" s="43" t="s">
        <v>2972</v>
      </c>
      <c r="C308" s="151">
        <f t="shared" si="17"/>
        <v>0</v>
      </c>
      <c r="D308" s="111"/>
      <c r="E308" s="1396"/>
      <c r="F308" s="98">
        <f t="shared" si="16"/>
        <v>0</v>
      </c>
      <c r="G308" s="111"/>
      <c r="H308" s="1396"/>
    </row>
    <row r="309" spans="1:8" ht="16.5">
      <c r="A309" s="419" t="s">
        <v>87</v>
      </c>
      <c r="B309" s="43" t="s">
        <v>2973</v>
      </c>
      <c r="C309" s="151">
        <f t="shared" si="17"/>
        <v>0</v>
      </c>
      <c r="D309" s="111"/>
      <c r="E309" s="1396"/>
      <c r="F309" s="98">
        <f t="shared" si="16"/>
        <v>0</v>
      </c>
      <c r="G309" s="111"/>
      <c r="H309" s="1396"/>
    </row>
    <row r="310" spans="1:8" ht="16.5">
      <c r="A310" s="419" t="s">
        <v>97</v>
      </c>
      <c r="B310" s="43" t="s">
        <v>2974</v>
      </c>
      <c r="C310" s="151">
        <f t="shared" si="17"/>
        <v>0</v>
      </c>
      <c r="D310" s="111"/>
      <c r="E310" s="1396"/>
      <c r="F310" s="98">
        <f t="shared" si="16"/>
        <v>0</v>
      </c>
      <c r="G310" s="111"/>
      <c r="H310" s="1396"/>
    </row>
    <row r="311" spans="1:8" ht="17.25" thickBot="1">
      <c r="A311" s="420" t="s">
        <v>100</v>
      </c>
      <c r="B311" s="423" t="s">
        <v>2975</v>
      </c>
      <c r="C311" s="369">
        <f t="shared" si="17"/>
        <v>0</v>
      </c>
      <c r="D311" s="115"/>
      <c r="E311" s="1376"/>
      <c r="F311" s="149">
        <f t="shared" si="16"/>
        <v>0</v>
      </c>
      <c r="G311" s="115"/>
      <c r="H311" s="1376"/>
    </row>
    <row r="312" spans="1:8" ht="81" customHeight="1" thickBot="1">
      <c r="A312" s="1803" t="s">
        <v>2909</v>
      </c>
      <c r="B312" s="1804" t="s">
        <v>2976</v>
      </c>
      <c r="C312" s="1805">
        <f>D312+E312</f>
        <v>0</v>
      </c>
      <c r="D312" s="1806">
        <f>D313</f>
        <v>0</v>
      </c>
      <c r="E312" s="1806">
        <f>E313</f>
        <v>0</v>
      </c>
      <c r="F312" s="1805">
        <f>G312+H312</f>
        <v>0</v>
      </c>
      <c r="G312" s="1807">
        <f>G313</f>
        <v>0</v>
      </c>
      <c r="H312" s="1808">
        <f>H313</f>
        <v>0</v>
      </c>
    </row>
    <row r="313" spans="1:8" ht="17.25" thickBot="1">
      <c r="A313" s="1809" t="s">
        <v>100</v>
      </c>
      <c r="B313" s="1810" t="s">
        <v>2977</v>
      </c>
      <c r="C313" s="1811">
        <f>D313+E313</f>
        <v>0</v>
      </c>
      <c r="D313" s="1812"/>
      <c r="E313" s="1812"/>
      <c r="F313" s="1811">
        <f>G313+H313</f>
        <v>0</v>
      </c>
      <c r="G313" s="1813"/>
      <c r="H313" s="1813"/>
    </row>
    <row r="314" spans="1:8" ht="90.75" thickBot="1">
      <c r="A314" s="1898" t="s">
        <v>523</v>
      </c>
      <c r="B314" s="1899" t="s">
        <v>385</v>
      </c>
      <c r="C314" s="1900">
        <f>D314+E314</f>
        <v>0</v>
      </c>
      <c r="D314" s="1818"/>
      <c r="E314" s="1591"/>
      <c r="F314" s="1590">
        <f>G314+H314</f>
        <v>0</v>
      </c>
      <c r="G314" s="1818"/>
      <c r="H314" s="1607"/>
    </row>
    <row r="315" spans="1:8" ht="79.5" thickBot="1">
      <c r="A315" s="1298" t="s">
        <v>255</v>
      </c>
      <c r="B315" s="1299" t="s">
        <v>1390</v>
      </c>
      <c r="C315" s="1300">
        <f t="shared" si="17"/>
        <v>0</v>
      </c>
      <c r="D315" s="1301">
        <f>SUM(D316:D328)</f>
        <v>0</v>
      </c>
      <c r="E315" s="1301">
        <f>SUM(E316:E328)</f>
        <v>0</v>
      </c>
      <c r="F315" s="1302">
        <f t="shared" si="16"/>
        <v>0</v>
      </c>
      <c r="G315" s="1301">
        <f>SUM(G316:G328)</f>
        <v>0</v>
      </c>
      <c r="H315" s="1303">
        <f>SUM(H316:H328)</f>
        <v>0</v>
      </c>
    </row>
    <row r="316" spans="1:8" ht="16.5">
      <c r="A316" s="17" t="s">
        <v>77</v>
      </c>
      <c r="B316" s="357" t="s">
        <v>1391</v>
      </c>
      <c r="C316" s="731">
        <f t="shared" si="17"/>
        <v>0</v>
      </c>
      <c r="D316" s="111"/>
      <c r="E316" s="1397"/>
      <c r="F316" s="151">
        <f t="shared" si="16"/>
        <v>0</v>
      </c>
      <c r="G316" s="109"/>
      <c r="H316" s="1397"/>
    </row>
    <row r="317" spans="1:8" ht="16.5">
      <c r="A317" s="18" t="s">
        <v>81</v>
      </c>
      <c r="B317" s="43" t="s">
        <v>1393</v>
      </c>
      <c r="C317" s="731">
        <f t="shared" si="17"/>
        <v>0</v>
      </c>
      <c r="D317" s="111"/>
      <c r="E317" s="1396"/>
      <c r="F317" s="98">
        <f t="shared" si="16"/>
        <v>0</v>
      </c>
      <c r="G317" s="111"/>
      <c r="H317" s="1396"/>
    </row>
    <row r="318" spans="1:8" ht="16.5">
      <c r="A318" s="18" t="s">
        <v>79</v>
      </c>
      <c r="B318" s="43" t="s">
        <v>1392</v>
      </c>
      <c r="C318" s="731">
        <f t="shared" si="17"/>
        <v>0</v>
      </c>
      <c r="D318" s="111"/>
      <c r="E318" s="1396"/>
      <c r="F318" s="98">
        <f t="shared" si="16"/>
        <v>0</v>
      </c>
      <c r="G318" s="111"/>
      <c r="H318" s="1396"/>
    </row>
    <row r="319" spans="1:8" ht="16.5">
      <c r="A319" s="18" t="s">
        <v>83</v>
      </c>
      <c r="B319" s="43" t="s">
        <v>1394</v>
      </c>
      <c r="C319" s="731">
        <f t="shared" si="17"/>
        <v>0</v>
      </c>
      <c r="D319" s="111"/>
      <c r="E319" s="1396"/>
      <c r="F319" s="98">
        <f t="shared" si="16"/>
        <v>0</v>
      </c>
      <c r="G319" s="111"/>
      <c r="H319" s="1396"/>
    </row>
    <row r="320" spans="1:8" ht="16.5">
      <c r="A320" s="18" t="s">
        <v>91</v>
      </c>
      <c r="B320" s="43" t="s">
        <v>1398</v>
      </c>
      <c r="C320" s="731">
        <f t="shared" si="17"/>
        <v>0</v>
      </c>
      <c r="D320" s="111"/>
      <c r="E320" s="1396"/>
      <c r="F320" s="98">
        <f t="shared" si="16"/>
        <v>0</v>
      </c>
      <c r="G320" s="111"/>
      <c r="H320" s="1396"/>
    </row>
    <row r="321" spans="1:8" ht="16.5">
      <c r="A321" s="420" t="s">
        <v>100</v>
      </c>
      <c r="B321" s="43" t="s">
        <v>1402</v>
      </c>
      <c r="C321" s="731">
        <f t="shared" si="17"/>
        <v>0</v>
      </c>
      <c r="D321" s="111"/>
      <c r="E321" s="1396"/>
      <c r="F321" s="98">
        <f t="shared" si="16"/>
        <v>0</v>
      </c>
      <c r="G321" s="111"/>
      <c r="H321" s="1396"/>
    </row>
    <row r="322" spans="1:8" ht="16.5">
      <c r="A322" s="18" t="s">
        <v>83</v>
      </c>
      <c r="B322" s="43" t="s">
        <v>1395</v>
      </c>
      <c r="C322" s="731">
        <f t="shared" si="17"/>
        <v>0</v>
      </c>
      <c r="D322" s="111"/>
      <c r="E322" s="1396"/>
      <c r="F322" s="98">
        <f t="shared" si="16"/>
        <v>0</v>
      </c>
      <c r="G322" s="111"/>
      <c r="H322" s="1396"/>
    </row>
    <row r="323" spans="1:8" ht="16.5">
      <c r="A323" s="18" t="s">
        <v>85</v>
      </c>
      <c r="B323" s="43" t="s">
        <v>1396</v>
      </c>
      <c r="C323" s="731">
        <f t="shared" si="17"/>
        <v>0</v>
      </c>
      <c r="D323" s="111"/>
      <c r="E323" s="1396"/>
      <c r="F323" s="98">
        <f t="shared" si="16"/>
        <v>0</v>
      </c>
      <c r="G323" s="111"/>
      <c r="H323" s="1396"/>
    </row>
    <row r="324" spans="1:8" ht="16.5">
      <c r="A324" s="419" t="s">
        <v>87</v>
      </c>
      <c r="B324" s="43" t="s">
        <v>1397</v>
      </c>
      <c r="C324" s="731">
        <f t="shared" si="17"/>
        <v>0</v>
      </c>
      <c r="D324" s="111"/>
      <c r="E324" s="1396"/>
      <c r="F324" s="98">
        <f t="shared" si="16"/>
        <v>0</v>
      </c>
      <c r="G324" s="111"/>
      <c r="H324" s="1396"/>
    </row>
    <row r="325" spans="1:8" ht="16.5">
      <c r="A325" s="18" t="s">
        <v>91</v>
      </c>
      <c r="B325" s="43" t="s">
        <v>1399</v>
      </c>
      <c r="C325" s="731">
        <f t="shared" si="17"/>
        <v>0</v>
      </c>
      <c r="D325" s="111"/>
      <c r="E325" s="1396"/>
      <c r="F325" s="98">
        <f t="shared" si="16"/>
        <v>0</v>
      </c>
      <c r="G325" s="111"/>
      <c r="H325" s="1396"/>
    </row>
    <row r="326" spans="1:8" ht="16.5">
      <c r="A326" s="419" t="s">
        <v>95</v>
      </c>
      <c r="B326" s="43" t="s">
        <v>1400</v>
      </c>
      <c r="C326" s="731">
        <f t="shared" si="17"/>
        <v>0</v>
      </c>
      <c r="D326" s="111"/>
      <c r="E326" s="1396"/>
      <c r="F326" s="98">
        <f t="shared" si="16"/>
        <v>0</v>
      </c>
      <c r="G326" s="111"/>
      <c r="H326" s="1396"/>
    </row>
    <row r="327" spans="1:8" ht="16.5">
      <c r="A327" s="419" t="s">
        <v>97</v>
      </c>
      <c r="B327" s="43" t="s">
        <v>1401</v>
      </c>
      <c r="C327" s="731">
        <f t="shared" si="17"/>
        <v>0</v>
      </c>
      <c r="D327" s="111"/>
      <c r="E327" s="1396"/>
      <c r="F327" s="98">
        <f t="shared" si="16"/>
        <v>0</v>
      </c>
      <c r="G327" s="111"/>
      <c r="H327" s="1396"/>
    </row>
    <row r="328" spans="1:8" ht="17.25" thickBot="1">
      <c r="A328" s="420" t="s">
        <v>100</v>
      </c>
      <c r="B328" s="423" t="s">
        <v>1403</v>
      </c>
      <c r="C328" s="1526">
        <f t="shared" si="17"/>
        <v>0</v>
      </c>
      <c r="D328" s="115"/>
      <c r="E328" s="1376"/>
      <c r="F328" s="149">
        <f t="shared" si="16"/>
        <v>0</v>
      </c>
      <c r="G328" s="115"/>
      <c r="H328" s="1376"/>
    </row>
    <row r="329" spans="1:8" ht="52.5" thickBot="1">
      <c r="A329" s="1885" t="s">
        <v>369</v>
      </c>
      <c r="B329" s="1886" t="s">
        <v>2961</v>
      </c>
      <c r="C329" s="1887">
        <f t="shared" ref="C329:C350" si="18">D329+E329</f>
        <v>0</v>
      </c>
      <c r="D329" s="1888">
        <f>SUM(D330:D333)</f>
        <v>0</v>
      </c>
      <c r="E329" s="1889"/>
      <c r="F329" s="1887">
        <f>G329+H329</f>
        <v>0</v>
      </c>
      <c r="G329" s="1888">
        <f>SUM(G330:G333)</f>
        <v>0</v>
      </c>
      <c r="H329" s="1890"/>
    </row>
    <row r="330" spans="1:8" ht="16.5">
      <c r="A330" s="1881" t="s">
        <v>77</v>
      </c>
      <c r="B330" s="1891" t="s">
        <v>2962</v>
      </c>
      <c r="C330" s="1892">
        <f t="shared" si="18"/>
        <v>0</v>
      </c>
      <c r="D330" s="1893"/>
      <c r="E330" s="1894"/>
      <c r="F330" s="1892">
        <f>G330+H330</f>
        <v>0</v>
      </c>
      <c r="G330" s="1893"/>
      <c r="H330" s="1895"/>
    </row>
    <row r="331" spans="1:8" ht="16.5">
      <c r="A331" s="1896" t="s">
        <v>81</v>
      </c>
      <c r="B331" s="1897" t="s">
        <v>2963</v>
      </c>
      <c r="C331" s="1882">
        <f t="shared" si="18"/>
        <v>0</v>
      </c>
      <c r="D331" s="1884"/>
      <c r="E331" s="1883"/>
      <c r="F331" s="1882">
        <f>G331+H331</f>
        <v>0</v>
      </c>
      <c r="G331" s="1884"/>
      <c r="H331" s="1883"/>
    </row>
    <row r="332" spans="1:8" ht="16.5">
      <c r="A332" s="1881" t="s">
        <v>77</v>
      </c>
      <c r="B332" s="1897" t="s">
        <v>2964</v>
      </c>
      <c r="C332" s="1882">
        <f t="shared" si="18"/>
        <v>0</v>
      </c>
      <c r="D332" s="1884"/>
      <c r="E332" s="1883"/>
      <c r="F332" s="1882">
        <f>G332+H332</f>
        <v>0</v>
      </c>
      <c r="G332" s="1884"/>
      <c r="H332" s="1883"/>
    </row>
    <row r="333" spans="1:8" ht="17.25" thickBot="1">
      <c r="A333" s="1896" t="s">
        <v>81</v>
      </c>
      <c r="B333" s="1897" t="s">
        <v>568</v>
      </c>
      <c r="C333" s="1882">
        <f t="shared" si="18"/>
        <v>0</v>
      </c>
      <c r="D333" s="1884"/>
      <c r="E333" s="1883"/>
      <c r="F333" s="1882">
        <f>G333+H333</f>
        <v>0</v>
      </c>
      <c r="G333" s="1884"/>
      <c r="H333" s="1883"/>
    </row>
    <row r="334" spans="1:8" ht="32.25" thickBot="1">
      <c r="A334" s="1255" t="s">
        <v>26</v>
      </c>
      <c r="B334" s="1527" t="s">
        <v>524</v>
      </c>
      <c r="C334" s="1211">
        <f t="shared" si="18"/>
        <v>849900</v>
      </c>
      <c r="D334" s="1219">
        <f>SUM(D335:D346)</f>
        <v>0</v>
      </c>
      <c r="E334" s="1219">
        <f>SUM(E335:E346)</f>
        <v>849900</v>
      </c>
      <c r="F334" s="1211">
        <f t="shared" ref="F334:F355" si="19">G334+H334</f>
        <v>639398.56000000006</v>
      </c>
      <c r="G334" s="1220">
        <f>SUM(G335:G346)</f>
        <v>0</v>
      </c>
      <c r="H334" s="1221">
        <f>SUM(H335:H346)</f>
        <v>639398.56000000006</v>
      </c>
    </row>
    <row r="335" spans="1:8" ht="16.5">
      <c r="A335" s="1222" t="s">
        <v>77</v>
      </c>
      <c r="B335" s="1223" t="s">
        <v>525</v>
      </c>
      <c r="C335" s="1202">
        <f t="shared" si="18"/>
        <v>574240</v>
      </c>
      <c r="D335" s="1203"/>
      <c r="E335" s="1203">
        <v>574240</v>
      </c>
      <c r="F335" s="1202">
        <f t="shared" si="19"/>
        <v>425335.63</v>
      </c>
      <c r="G335" s="1224"/>
      <c r="H335" s="1203">
        <v>425335.63</v>
      </c>
    </row>
    <row r="336" spans="1:8" ht="16.5">
      <c r="A336" s="1225" t="s">
        <v>79</v>
      </c>
      <c r="B336" s="1226" t="s">
        <v>526</v>
      </c>
      <c r="C336" s="291">
        <f t="shared" si="18"/>
        <v>0</v>
      </c>
      <c r="D336" s="1214"/>
      <c r="E336" s="1214"/>
      <c r="F336" s="291">
        <f t="shared" si="19"/>
        <v>0</v>
      </c>
      <c r="G336" s="1227"/>
      <c r="H336" s="1214"/>
    </row>
    <row r="337" spans="1:8" ht="16.5">
      <c r="A337" s="1225" t="s">
        <v>81</v>
      </c>
      <c r="B337" s="1226" t="s">
        <v>527</v>
      </c>
      <c r="C337" s="291">
        <f t="shared" si="18"/>
        <v>240360</v>
      </c>
      <c r="D337" s="1214"/>
      <c r="E337" s="1214">
        <v>240360</v>
      </c>
      <c r="F337" s="291">
        <f t="shared" si="19"/>
        <v>198662.93</v>
      </c>
      <c r="G337" s="1227"/>
      <c r="H337" s="1214">
        <v>198662.93</v>
      </c>
    </row>
    <row r="338" spans="1:8" ht="16.5">
      <c r="A338" s="1225" t="s">
        <v>83</v>
      </c>
      <c r="B338" s="1226" t="s">
        <v>528</v>
      </c>
      <c r="C338" s="291">
        <f t="shared" si="18"/>
        <v>12900</v>
      </c>
      <c r="D338" s="1214"/>
      <c r="E338" s="1214">
        <v>12900</v>
      </c>
      <c r="F338" s="291">
        <f t="shared" si="19"/>
        <v>6000</v>
      </c>
      <c r="G338" s="1227"/>
      <c r="H338" s="1214">
        <v>6000</v>
      </c>
    </row>
    <row r="339" spans="1:8" ht="16.5">
      <c r="A339" s="1225" t="s">
        <v>85</v>
      </c>
      <c r="B339" s="1226" t="s">
        <v>529</v>
      </c>
      <c r="C339" s="291">
        <f t="shared" si="18"/>
        <v>6000</v>
      </c>
      <c r="D339" s="1214"/>
      <c r="E339" s="1214">
        <v>6000</v>
      </c>
      <c r="F339" s="291">
        <f t="shared" si="19"/>
        <v>0</v>
      </c>
      <c r="G339" s="1227"/>
      <c r="H339" s="1214"/>
    </row>
    <row r="340" spans="1:8" ht="16.5">
      <c r="A340" s="1225" t="s">
        <v>87</v>
      </c>
      <c r="B340" s="1226" t="s">
        <v>530</v>
      </c>
      <c r="C340" s="291">
        <f t="shared" si="18"/>
        <v>4000</v>
      </c>
      <c r="D340" s="1214"/>
      <c r="E340" s="1214">
        <v>4000</v>
      </c>
      <c r="F340" s="291">
        <f t="shared" si="19"/>
        <v>4000</v>
      </c>
      <c r="G340" s="1227"/>
      <c r="H340" s="1214">
        <v>4000</v>
      </c>
    </row>
    <row r="341" spans="1:8" ht="16.5">
      <c r="A341" s="1225" t="s">
        <v>765</v>
      </c>
      <c r="B341" s="1226" t="s">
        <v>531</v>
      </c>
      <c r="C341" s="291">
        <f t="shared" si="18"/>
        <v>0</v>
      </c>
      <c r="D341" s="1214"/>
      <c r="E341" s="1214"/>
      <c r="F341" s="291">
        <f t="shared" si="19"/>
        <v>0</v>
      </c>
      <c r="G341" s="1227"/>
      <c r="H341" s="1214"/>
    </row>
    <row r="342" spans="1:8" ht="16.5">
      <c r="A342" s="1225" t="s">
        <v>89</v>
      </c>
      <c r="B342" s="1226" t="s">
        <v>532</v>
      </c>
      <c r="C342" s="291">
        <f t="shared" si="18"/>
        <v>0</v>
      </c>
      <c r="D342" s="1214"/>
      <c r="E342" s="1214"/>
      <c r="F342" s="291">
        <f t="shared" si="19"/>
        <v>0</v>
      </c>
      <c r="G342" s="1227"/>
      <c r="H342" s="1214"/>
    </row>
    <row r="343" spans="1:8" ht="16.5">
      <c r="A343" s="1225" t="s">
        <v>91</v>
      </c>
      <c r="B343" s="1226" t="s">
        <v>533</v>
      </c>
      <c r="C343" s="291">
        <f t="shared" si="18"/>
        <v>7000</v>
      </c>
      <c r="D343" s="1214"/>
      <c r="E343" s="1214">
        <v>7000</v>
      </c>
      <c r="F343" s="291">
        <f t="shared" si="19"/>
        <v>0</v>
      </c>
      <c r="G343" s="1227"/>
      <c r="H343" s="1214"/>
    </row>
    <row r="344" spans="1:8" ht="16.5">
      <c r="A344" s="1225" t="s">
        <v>95</v>
      </c>
      <c r="B344" s="1226" t="s">
        <v>534</v>
      </c>
      <c r="C344" s="291">
        <f t="shared" si="18"/>
        <v>0</v>
      </c>
      <c r="D344" s="1214"/>
      <c r="E344" s="1214"/>
      <c r="F344" s="291">
        <f t="shared" si="19"/>
        <v>0</v>
      </c>
      <c r="G344" s="1227"/>
      <c r="H344" s="1214"/>
    </row>
    <row r="345" spans="1:8" ht="16.5">
      <c r="A345" s="1225" t="s">
        <v>97</v>
      </c>
      <c r="B345" s="1226" t="s">
        <v>535</v>
      </c>
      <c r="C345" s="291">
        <f t="shared" si="18"/>
        <v>0</v>
      </c>
      <c r="D345" s="1214"/>
      <c r="E345" s="1214"/>
      <c r="F345" s="291">
        <f t="shared" si="19"/>
        <v>0</v>
      </c>
      <c r="G345" s="1227"/>
      <c r="H345" s="1214"/>
    </row>
    <row r="346" spans="1:8" ht="17.25" thickBot="1">
      <c r="A346" s="1228">
        <v>6</v>
      </c>
      <c r="B346" s="1229" t="s">
        <v>536</v>
      </c>
      <c r="C346" s="1230">
        <f t="shared" si="18"/>
        <v>5400</v>
      </c>
      <c r="D346" s="1217"/>
      <c r="E346" s="1217">
        <v>5400</v>
      </c>
      <c r="F346" s="1230">
        <f t="shared" si="19"/>
        <v>5400</v>
      </c>
      <c r="G346" s="1231"/>
      <c r="H346" s="1217">
        <v>5400</v>
      </c>
    </row>
    <row r="347" spans="1:8" ht="32.25" thickBot="1">
      <c r="A347" s="1264" t="s">
        <v>130</v>
      </c>
      <c r="B347" s="513" t="s">
        <v>131</v>
      </c>
      <c r="C347" s="1211">
        <f t="shared" si="18"/>
        <v>428308.09</v>
      </c>
      <c r="D347" s="1235">
        <f>SUM(D348:D352)</f>
        <v>37132.5</v>
      </c>
      <c r="E347" s="1235">
        <f>SUM(E348:E352)</f>
        <v>391175.59</v>
      </c>
      <c r="F347" s="1211">
        <f t="shared" si="19"/>
        <v>428045.86</v>
      </c>
      <c r="G347" s="1235">
        <f>SUM(G348:G352)</f>
        <v>37132.5</v>
      </c>
      <c r="H347" s="1212">
        <f>SUM(H348:H352)</f>
        <v>390913.36</v>
      </c>
    </row>
    <row r="348" spans="1:8" ht="16.5">
      <c r="A348" s="460" t="s">
        <v>77</v>
      </c>
      <c r="B348" s="461" t="s">
        <v>133</v>
      </c>
      <c r="C348" s="1213">
        <f t="shared" si="18"/>
        <v>27000</v>
      </c>
      <c r="D348" s="1203">
        <f>D360+D379</f>
        <v>0</v>
      </c>
      <c r="E348" s="1203">
        <f>E360+E356</f>
        <v>27000</v>
      </c>
      <c r="F348" s="1213">
        <f t="shared" si="19"/>
        <v>27000</v>
      </c>
      <c r="G348" s="1203">
        <f>G360</f>
        <v>0</v>
      </c>
      <c r="H348" s="1203">
        <f>H360+H356</f>
        <v>27000</v>
      </c>
    </row>
    <row r="349" spans="1:8" ht="16.5">
      <c r="A349" s="1225" t="s">
        <v>85</v>
      </c>
      <c r="B349" s="451" t="s">
        <v>1725</v>
      </c>
      <c r="C349" s="291">
        <f t="shared" si="18"/>
        <v>0</v>
      </c>
      <c r="D349" s="1214">
        <f>D361+D371+D356</f>
        <v>0</v>
      </c>
      <c r="E349" s="1214">
        <f>E361+E371</f>
        <v>0</v>
      </c>
      <c r="F349" s="291">
        <f t="shared" si="19"/>
        <v>0</v>
      </c>
      <c r="G349" s="1214">
        <f>G361+G371</f>
        <v>0</v>
      </c>
      <c r="H349" s="1214">
        <f>H361+H371</f>
        <v>0</v>
      </c>
    </row>
    <row r="350" spans="1:8" ht="16.5">
      <c r="A350" s="1225" t="s">
        <v>91</v>
      </c>
      <c r="B350" s="451" t="s">
        <v>2159</v>
      </c>
      <c r="C350" s="291">
        <f t="shared" si="18"/>
        <v>116573.19</v>
      </c>
      <c r="D350" s="1214">
        <f>D357+D362+D372+D380+D381+D354+D363+D367</f>
        <v>0</v>
      </c>
      <c r="E350" s="1214">
        <f>E357+E362+E363+E367+E372+E375+E380+E381</f>
        <v>116573.19</v>
      </c>
      <c r="F350" s="291">
        <f t="shared" si="19"/>
        <v>116310.95999999999</v>
      </c>
      <c r="G350" s="1214">
        <f>G354</f>
        <v>0</v>
      </c>
      <c r="H350" s="1214">
        <f>H357+H362+H363+H367+H372+H375+H380+H381</f>
        <v>116310.95999999999</v>
      </c>
    </row>
    <row r="351" spans="1:8" ht="16.5">
      <c r="A351" s="1225" t="s">
        <v>97</v>
      </c>
      <c r="B351" s="451" t="s">
        <v>1589</v>
      </c>
      <c r="C351" s="291">
        <f>D351</f>
        <v>6600</v>
      </c>
      <c r="D351" s="1217">
        <f>D358+D364+D365+D369+D373+D374+D382+D383+D377</f>
        <v>6600</v>
      </c>
      <c r="E351" s="1217">
        <f>E364+E365+E369+E377+E382+E383+E358</f>
        <v>235900</v>
      </c>
      <c r="F351" s="291">
        <f t="shared" si="19"/>
        <v>242500</v>
      </c>
      <c r="G351" s="1217">
        <f>G358+G364+G365+G369+G373+G374+G382+G383+G377</f>
        <v>6600</v>
      </c>
      <c r="H351" s="1217">
        <f>H364+H365+H369+H377+H382+H383+H358</f>
        <v>235900</v>
      </c>
    </row>
    <row r="352" spans="1:8" ht="17.25" thickBot="1">
      <c r="A352" s="1215" t="s">
        <v>91</v>
      </c>
      <c r="B352" s="1216" t="s">
        <v>2158</v>
      </c>
      <c r="C352" s="1230">
        <f>D352+E352</f>
        <v>42234.9</v>
      </c>
      <c r="D352" s="1217">
        <f>D359+D366+D368+D375+D376+D384+D385</f>
        <v>30532.5</v>
      </c>
      <c r="E352" s="1217">
        <f>E366+E368+E374+E376+E384+E385+E359</f>
        <v>11702.4</v>
      </c>
      <c r="F352" s="1230">
        <f t="shared" si="19"/>
        <v>42234.9</v>
      </c>
      <c r="G352" s="1217">
        <f>G359+G366+G368+G375+G376+G384+G385</f>
        <v>30532.5</v>
      </c>
      <c r="H352" s="1217">
        <f>H366+H368+H374+H376+H384+H385+H359</f>
        <v>11702.4</v>
      </c>
    </row>
    <row r="353" spans="1:8" ht="17.25" thickBot="1">
      <c r="A353" s="1434"/>
      <c r="B353" s="1435" t="s">
        <v>135</v>
      </c>
      <c r="C353" s="150">
        <f>D353</f>
        <v>0</v>
      </c>
      <c r="D353" s="184">
        <f>D354</f>
        <v>0</v>
      </c>
      <c r="E353" s="184"/>
      <c r="F353" s="150">
        <f>G353</f>
        <v>0</v>
      </c>
      <c r="G353" s="184">
        <f>G354</f>
        <v>0</v>
      </c>
      <c r="H353" s="1436"/>
    </row>
    <row r="354" spans="1:8" ht="17.25" thickBot="1">
      <c r="A354" s="420" t="s">
        <v>100</v>
      </c>
      <c r="B354" s="1296" t="s">
        <v>1404</v>
      </c>
      <c r="C354" s="369">
        <f>D354</f>
        <v>0</v>
      </c>
      <c r="D354" s="130"/>
      <c r="E354" s="130"/>
      <c r="F354" s="369">
        <f>G354</f>
        <v>0</v>
      </c>
      <c r="G354" s="130"/>
      <c r="H354" s="130"/>
    </row>
    <row r="355" spans="1:8" s="392" customFormat="1" ht="63">
      <c r="A355" s="1571" t="s">
        <v>2040</v>
      </c>
      <c r="B355" s="1572" t="s">
        <v>2155</v>
      </c>
      <c r="C355" s="1266">
        <f>D355+E355</f>
        <v>356720.58999999997</v>
      </c>
      <c r="D355" s="1267">
        <f>SUM(D356:D369)</f>
        <v>13145</v>
      </c>
      <c r="E355" s="1267">
        <f>SUM(E356:E369)</f>
        <v>343575.58999999997</v>
      </c>
      <c r="F355" s="1266">
        <f t="shared" si="19"/>
        <v>356545.05</v>
      </c>
      <c r="G355" s="1267">
        <f>SUM(G356:G369)</f>
        <v>13145</v>
      </c>
      <c r="H355" s="1267">
        <f>SUM(H356:H369)</f>
        <v>343400.05</v>
      </c>
    </row>
    <row r="356" spans="1:8" s="392" customFormat="1" ht="16.5">
      <c r="A356" s="1573"/>
      <c r="B356" s="384" t="s">
        <v>537</v>
      </c>
      <c r="C356" s="151">
        <f t="shared" ref="C356:C369" si="20">D356</f>
        <v>0</v>
      </c>
      <c r="D356" s="648"/>
      <c r="E356" s="648">
        <v>27000</v>
      </c>
      <c r="F356" s="770">
        <f t="shared" ref="F356:F369" si="21">G356</f>
        <v>0</v>
      </c>
      <c r="G356" s="648"/>
      <c r="H356" s="648">
        <v>27000</v>
      </c>
    </row>
    <row r="357" spans="1:8" s="392" customFormat="1" ht="16.5">
      <c r="A357" s="418" t="s">
        <v>91</v>
      </c>
      <c r="B357" s="34" t="s">
        <v>1929</v>
      </c>
      <c r="C357" s="151">
        <f t="shared" si="20"/>
        <v>0</v>
      </c>
      <c r="D357" s="544"/>
      <c r="E357" s="1397">
        <v>68973.19</v>
      </c>
      <c r="F357" s="770">
        <f t="shared" si="21"/>
        <v>0</v>
      </c>
      <c r="G357" s="1110"/>
      <c r="H357" s="1174">
        <v>68797.649999999994</v>
      </c>
    </row>
    <row r="358" spans="1:8" s="392" customFormat="1" ht="16.5">
      <c r="A358" s="1198" t="s">
        <v>97</v>
      </c>
      <c r="B358" s="34" t="s">
        <v>1931</v>
      </c>
      <c r="C358" s="151">
        <f t="shared" si="20"/>
        <v>0</v>
      </c>
      <c r="D358" s="648"/>
      <c r="E358" s="1396">
        <v>147000</v>
      </c>
      <c r="F358" s="770">
        <f t="shared" si="21"/>
        <v>0</v>
      </c>
      <c r="G358" s="1100"/>
      <c r="H358" s="1401">
        <v>147000</v>
      </c>
    </row>
    <row r="359" spans="1:8" s="392" customFormat="1" ht="16.5">
      <c r="A359" s="19" t="s">
        <v>100</v>
      </c>
      <c r="B359" s="34" t="s">
        <v>1930</v>
      </c>
      <c r="C359" s="151">
        <f t="shared" si="20"/>
        <v>0</v>
      </c>
      <c r="D359" s="648"/>
      <c r="E359" s="1396">
        <v>11702.4</v>
      </c>
      <c r="F359" s="770">
        <f t="shared" si="21"/>
        <v>0</v>
      </c>
      <c r="G359" s="1100"/>
      <c r="H359" s="1401">
        <v>11702.4</v>
      </c>
    </row>
    <row r="360" spans="1:8" ht="39">
      <c r="A360" s="17" t="s">
        <v>1069</v>
      </c>
      <c r="B360" s="34" t="s">
        <v>2046</v>
      </c>
      <c r="C360" s="151">
        <f t="shared" si="20"/>
        <v>0</v>
      </c>
      <c r="D360" s="96"/>
      <c r="E360" s="1397"/>
      <c r="F360" s="770">
        <f t="shared" si="21"/>
        <v>0</v>
      </c>
      <c r="G360" s="544"/>
      <c r="H360" s="1406"/>
    </row>
    <row r="361" spans="1:8" ht="16.5">
      <c r="A361" s="419" t="s">
        <v>85</v>
      </c>
      <c r="B361" s="31" t="s">
        <v>2047</v>
      </c>
      <c r="C361" s="98">
        <f t="shared" si="20"/>
        <v>0</v>
      </c>
      <c r="D361" s="99"/>
      <c r="E361" s="1396"/>
      <c r="F361" s="98">
        <f t="shared" si="21"/>
        <v>0</v>
      </c>
      <c r="G361" s="544"/>
      <c r="H361" s="1400"/>
    </row>
    <row r="362" spans="1:8" ht="16.5">
      <c r="A362" s="419" t="s">
        <v>91</v>
      </c>
      <c r="B362" s="31" t="s">
        <v>2048</v>
      </c>
      <c r="C362" s="98">
        <f t="shared" si="20"/>
        <v>0</v>
      </c>
      <c r="D362" s="99"/>
      <c r="E362" s="1396"/>
      <c r="F362" s="98">
        <f t="shared" si="21"/>
        <v>0</v>
      </c>
      <c r="G362" s="544"/>
      <c r="H362" s="1400"/>
    </row>
    <row r="363" spans="1:8" ht="16.5">
      <c r="A363" s="419" t="s">
        <v>91</v>
      </c>
      <c r="B363" s="31" t="s">
        <v>2049</v>
      </c>
      <c r="C363" s="98">
        <f t="shared" si="20"/>
        <v>0</v>
      </c>
      <c r="D363" s="99"/>
      <c r="E363" s="1396"/>
      <c r="F363" s="98">
        <f t="shared" si="21"/>
        <v>0</v>
      </c>
      <c r="G363" s="648"/>
      <c r="H363" s="1400"/>
    </row>
    <row r="364" spans="1:8" ht="16.5">
      <c r="A364" s="419" t="s">
        <v>97</v>
      </c>
      <c r="B364" s="32" t="s">
        <v>2050</v>
      </c>
      <c r="C364" s="98">
        <f t="shared" si="20"/>
        <v>0</v>
      </c>
      <c r="D364" s="102"/>
      <c r="E364" s="1376"/>
      <c r="F364" s="98">
        <f t="shared" si="21"/>
        <v>0</v>
      </c>
      <c r="G364" s="651"/>
      <c r="H364" s="1377"/>
    </row>
    <row r="365" spans="1:8" ht="16.5">
      <c r="A365" s="19" t="s">
        <v>100</v>
      </c>
      <c r="B365" s="32" t="s">
        <v>2051</v>
      </c>
      <c r="C365" s="98">
        <f t="shared" si="20"/>
        <v>0</v>
      </c>
      <c r="D365" s="102"/>
      <c r="E365" s="1376"/>
      <c r="F365" s="98">
        <f t="shared" si="21"/>
        <v>0</v>
      </c>
      <c r="G365" s="651"/>
      <c r="H365" s="1377"/>
    </row>
    <row r="366" spans="1:8" ht="16.5">
      <c r="A366" s="19" t="s">
        <v>100</v>
      </c>
      <c r="B366" s="32" t="s">
        <v>2052</v>
      </c>
      <c r="C366" s="149">
        <f t="shared" si="20"/>
        <v>13145</v>
      </c>
      <c r="D366" s="102">
        <v>13145</v>
      </c>
      <c r="E366" s="1376"/>
      <c r="F366" s="149">
        <f t="shared" si="21"/>
        <v>13145</v>
      </c>
      <c r="G366" s="651">
        <v>13145</v>
      </c>
      <c r="H366" s="1377"/>
    </row>
    <row r="367" spans="1:8" ht="16.5">
      <c r="A367" s="419" t="s">
        <v>91</v>
      </c>
      <c r="B367" s="31" t="s">
        <v>1932</v>
      </c>
      <c r="C367" s="149">
        <f t="shared" si="20"/>
        <v>0</v>
      </c>
      <c r="D367" s="102"/>
      <c r="E367" s="1396"/>
      <c r="F367" s="149">
        <f t="shared" si="21"/>
        <v>0</v>
      </c>
      <c r="G367" s="648"/>
      <c r="H367" s="1400"/>
    </row>
    <row r="368" spans="1:8" ht="16.5">
      <c r="A368" s="19" t="s">
        <v>100</v>
      </c>
      <c r="B368" s="31" t="s">
        <v>1933</v>
      </c>
      <c r="C368" s="149">
        <f t="shared" si="20"/>
        <v>0</v>
      </c>
      <c r="D368" s="102"/>
      <c r="E368" s="1396"/>
      <c r="F368" s="149">
        <f t="shared" si="21"/>
        <v>0</v>
      </c>
      <c r="G368" s="648"/>
      <c r="H368" s="1400"/>
    </row>
    <row r="369" spans="1:8" ht="16.5">
      <c r="A369" s="420" t="s">
        <v>97</v>
      </c>
      <c r="B369" s="32" t="s">
        <v>601</v>
      </c>
      <c r="C369" s="149">
        <f t="shared" si="20"/>
        <v>0</v>
      </c>
      <c r="D369" s="102"/>
      <c r="E369" s="1376">
        <v>88900</v>
      </c>
      <c r="F369" s="149">
        <f t="shared" si="21"/>
        <v>0</v>
      </c>
      <c r="G369" s="651"/>
      <c r="H369" s="1377">
        <v>88900</v>
      </c>
    </row>
    <row r="370" spans="1:8" ht="16.5">
      <c r="A370" s="1522" t="s">
        <v>2261</v>
      </c>
      <c r="B370" s="1523" t="s">
        <v>2262</v>
      </c>
      <c r="C370" s="1524">
        <f t="shared" ref="C370:C399" si="22">D370+E370</f>
        <v>71587.5</v>
      </c>
      <c r="D370" s="1525">
        <f>SUM(D371:D377)</f>
        <v>23987.5</v>
      </c>
      <c r="E370" s="1525">
        <f>SUM(E371:E377)</f>
        <v>47600</v>
      </c>
      <c r="F370" s="1524">
        <f t="shared" ref="F370:F386" si="23">G370+H370</f>
        <v>71500.81</v>
      </c>
      <c r="G370" s="1525">
        <f>SUM(G371:G377)</f>
        <v>23987.5</v>
      </c>
      <c r="H370" s="1525">
        <f>SUM(H371:H377)</f>
        <v>47513.31</v>
      </c>
    </row>
    <row r="371" spans="1:8" ht="16.5">
      <c r="A371" s="418" t="s">
        <v>85</v>
      </c>
      <c r="B371" s="1107" t="s">
        <v>538</v>
      </c>
      <c r="C371" s="151">
        <f t="shared" si="22"/>
        <v>0</v>
      </c>
      <c r="D371" s="130"/>
      <c r="E371" s="1398"/>
      <c r="F371" s="151">
        <f t="shared" si="23"/>
        <v>0</v>
      </c>
      <c r="G371" s="130"/>
      <c r="H371" s="1398"/>
    </row>
    <row r="372" spans="1:8" ht="16.5">
      <c r="A372" s="419"/>
      <c r="B372" s="1107" t="s">
        <v>539</v>
      </c>
      <c r="C372" s="98">
        <f t="shared" si="22"/>
        <v>47600</v>
      </c>
      <c r="D372" s="648"/>
      <c r="E372" s="1396">
        <v>47600</v>
      </c>
      <c r="F372" s="98">
        <f t="shared" si="23"/>
        <v>47513.31</v>
      </c>
      <c r="G372" s="648"/>
      <c r="H372" s="1396">
        <v>47513.31</v>
      </c>
    </row>
    <row r="373" spans="1:8" ht="16.5">
      <c r="A373" s="420"/>
      <c r="B373" s="1107" t="s">
        <v>542</v>
      </c>
      <c r="C373" s="98">
        <f t="shared" si="22"/>
        <v>0</v>
      </c>
      <c r="D373" s="648"/>
      <c r="E373" s="1396"/>
      <c r="F373" s="98">
        <f t="shared" si="23"/>
        <v>0</v>
      </c>
      <c r="G373" s="648"/>
      <c r="H373" s="1396"/>
    </row>
    <row r="374" spans="1:8" ht="16.5">
      <c r="A374" s="19"/>
      <c r="B374" s="1107" t="s">
        <v>541</v>
      </c>
      <c r="C374" s="98">
        <f t="shared" si="22"/>
        <v>6600</v>
      </c>
      <c r="D374" s="648">
        <v>6600</v>
      </c>
      <c r="E374" s="1396"/>
      <c r="F374" s="98">
        <f t="shared" si="23"/>
        <v>6600</v>
      </c>
      <c r="G374" s="648">
        <v>6600</v>
      </c>
      <c r="H374" s="1396"/>
    </row>
    <row r="375" spans="1:8" ht="16.5">
      <c r="A375" s="18" t="s">
        <v>91</v>
      </c>
      <c r="B375" s="31" t="s">
        <v>540</v>
      </c>
      <c r="C375" s="98">
        <f t="shared" si="22"/>
        <v>4087.5</v>
      </c>
      <c r="D375" s="99">
        <v>4087.5</v>
      </c>
      <c r="E375" s="1396"/>
      <c r="F375" s="98">
        <f t="shared" si="23"/>
        <v>4087.5</v>
      </c>
      <c r="G375" s="99">
        <v>4087.5</v>
      </c>
      <c r="H375" s="1400"/>
    </row>
    <row r="376" spans="1:8" ht="16.5">
      <c r="A376" s="19" t="s">
        <v>100</v>
      </c>
      <c r="B376" s="31" t="s">
        <v>1967</v>
      </c>
      <c r="C376" s="98">
        <f t="shared" si="22"/>
        <v>13300</v>
      </c>
      <c r="D376" s="99">
        <v>13300</v>
      </c>
      <c r="E376" s="1396"/>
      <c r="F376" s="98">
        <f t="shared" si="23"/>
        <v>13300</v>
      </c>
      <c r="G376" s="99">
        <v>13300</v>
      </c>
      <c r="H376" s="1400"/>
    </row>
    <row r="377" spans="1:8" ht="17.25" thickBot="1">
      <c r="A377" s="1198" t="s">
        <v>97</v>
      </c>
      <c r="B377" s="1106" t="s">
        <v>1968</v>
      </c>
      <c r="C377" s="149">
        <f t="shared" si="22"/>
        <v>0</v>
      </c>
      <c r="D377" s="651"/>
      <c r="E377" s="1108"/>
      <c r="F377" s="149">
        <f t="shared" si="23"/>
        <v>0</v>
      </c>
      <c r="G377" s="651"/>
      <c r="H377" s="733"/>
    </row>
    <row r="378" spans="1:8" ht="48" thickBot="1">
      <c r="A378" s="1268" t="s">
        <v>329</v>
      </c>
      <c r="B378" s="1269" t="s">
        <v>1969</v>
      </c>
      <c r="C378" s="1208">
        <f t="shared" si="22"/>
        <v>0</v>
      </c>
      <c r="D378" s="1270">
        <f>SUM(D379:D385)</f>
        <v>0</v>
      </c>
      <c r="E378" s="1270"/>
      <c r="F378" s="1208">
        <f t="shared" si="23"/>
        <v>0</v>
      </c>
      <c r="G378" s="1270">
        <f>SUM(G380:G385)</f>
        <v>0</v>
      </c>
      <c r="H378" s="1271"/>
    </row>
    <row r="379" spans="1:8" ht="16.5">
      <c r="A379" s="1483"/>
      <c r="B379" s="34" t="s">
        <v>1405</v>
      </c>
      <c r="C379" s="161">
        <f t="shared" si="22"/>
        <v>0</v>
      </c>
      <c r="D379" s="1683"/>
      <c r="E379" s="1484"/>
      <c r="F379" s="161">
        <f>G379+H379</f>
        <v>0</v>
      </c>
      <c r="G379" s="1484"/>
      <c r="H379" s="1485"/>
    </row>
    <row r="380" spans="1:8" ht="16.5">
      <c r="A380" s="418" t="s">
        <v>91</v>
      </c>
      <c r="B380" s="34" t="s">
        <v>2053</v>
      </c>
      <c r="C380" s="369">
        <f t="shared" si="22"/>
        <v>0</v>
      </c>
      <c r="D380" s="96"/>
      <c r="E380" s="1397"/>
      <c r="F380" s="369">
        <f t="shared" si="23"/>
        <v>0</v>
      </c>
      <c r="G380" s="96"/>
      <c r="H380" s="1399"/>
    </row>
    <row r="381" spans="1:8" ht="16.5">
      <c r="A381" s="419" t="s">
        <v>91</v>
      </c>
      <c r="B381" s="34" t="s">
        <v>2054</v>
      </c>
      <c r="C381" s="149">
        <f t="shared" si="22"/>
        <v>0</v>
      </c>
      <c r="D381" s="99"/>
      <c r="E381" s="1396"/>
      <c r="F381" s="149">
        <f t="shared" si="23"/>
        <v>0</v>
      </c>
      <c r="G381" s="99"/>
      <c r="H381" s="1400"/>
    </row>
    <row r="382" spans="1:8" ht="16.5">
      <c r="A382" s="18" t="s">
        <v>97</v>
      </c>
      <c r="B382" s="34" t="s">
        <v>2055</v>
      </c>
      <c r="C382" s="149">
        <f t="shared" si="22"/>
        <v>0</v>
      </c>
      <c r="D382" s="99"/>
      <c r="E382" s="1396"/>
      <c r="F382" s="149">
        <f>G382+H382</f>
        <v>0</v>
      </c>
      <c r="G382" s="99"/>
      <c r="H382" s="1400"/>
    </row>
    <row r="383" spans="1:8" ht="16.5">
      <c r="A383" s="18" t="s">
        <v>97</v>
      </c>
      <c r="B383" s="34" t="s">
        <v>2056</v>
      </c>
      <c r="C383" s="149">
        <f t="shared" si="22"/>
        <v>0</v>
      </c>
      <c r="D383" s="102"/>
      <c r="E383" s="1376"/>
      <c r="F383" s="149">
        <f>G383+H383</f>
        <v>0</v>
      </c>
      <c r="G383" s="102"/>
      <c r="H383" s="1400"/>
    </row>
    <row r="384" spans="1:8" ht="16.5">
      <c r="A384" s="754" t="s">
        <v>100</v>
      </c>
      <c r="B384" s="34" t="s">
        <v>2057</v>
      </c>
      <c r="C384" s="149">
        <f t="shared" si="22"/>
        <v>0</v>
      </c>
      <c r="D384" s="102"/>
      <c r="E384" s="1376"/>
      <c r="F384" s="149">
        <f>G384+H384</f>
        <v>0</v>
      </c>
      <c r="G384" s="102"/>
      <c r="H384" s="1400"/>
    </row>
    <row r="385" spans="1:8" ht="17.25" thickBot="1">
      <c r="A385" s="754" t="s">
        <v>100</v>
      </c>
      <c r="B385" s="32" t="s">
        <v>2058</v>
      </c>
      <c r="C385" s="149">
        <f t="shared" si="22"/>
        <v>0</v>
      </c>
      <c r="D385" s="102"/>
      <c r="E385" s="1376"/>
      <c r="F385" s="149">
        <f t="shared" si="23"/>
        <v>0</v>
      </c>
      <c r="G385" s="102"/>
      <c r="H385" s="1400"/>
    </row>
    <row r="386" spans="1:8" ht="18.75" thickBot="1">
      <c r="A386" s="1232" t="s">
        <v>137</v>
      </c>
      <c r="B386" s="1233" t="s">
        <v>138</v>
      </c>
      <c r="C386" s="1234">
        <f t="shared" si="22"/>
        <v>6748905.2699999996</v>
      </c>
      <c r="D386" s="1235">
        <f>SUM(D387:D399)</f>
        <v>4799872.5199999996</v>
      </c>
      <c r="E386" s="1235">
        <f>SUM(E387:E399)</f>
        <v>1949032.75</v>
      </c>
      <c r="F386" s="1234">
        <f t="shared" si="23"/>
        <v>1936817.94</v>
      </c>
      <c r="G386" s="1235">
        <f>SUM(G387:G399)</f>
        <v>1215272.52</v>
      </c>
      <c r="H386" s="1236">
        <f>SUM(H387:H399)</f>
        <v>721545.42</v>
      </c>
    </row>
    <row r="387" spans="1:8" ht="16.5">
      <c r="A387" s="460" t="s">
        <v>77</v>
      </c>
      <c r="B387" s="461" t="s">
        <v>1681</v>
      </c>
      <c r="C387" s="1213">
        <f t="shared" si="22"/>
        <v>40940.36</v>
      </c>
      <c r="D387" s="1237">
        <f t="shared" ref="D387:E389" si="24">D401</f>
        <v>40940.36</v>
      </c>
      <c r="E387" s="1237">
        <f t="shared" si="24"/>
        <v>0</v>
      </c>
      <c r="F387" s="1213">
        <f t="shared" ref="F387:F395" si="25">G387+H387</f>
        <v>40940.36</v>
      </c>
      <c r="G387" s="1237">
        <f t="shared" ref="G387:H389" si="26">G401</f>
        <v>40940.36</v>
      </c>
      <c r="H387" s="1237">
        <f t="shared" si="26"/>
        <v>0</v>
      </c>
    </row>
    <row r="388" spans="1:8" ht="16.5">
      <c r="A388" s="272" t="s">
        <v>79</v>
      </c>
      <c r="B388" s="1238" t="s">
        <v>1682</v>
      </c>
      <c r="C388" s="291">
        <f t="shared" si="22"/>
        <v>0</v>
      </c>
      <c r="D388" s="1237">
        <f t="shared" si="24"/>
        <v>0</v>
      </c>
      <c r="E388" s="1237">
        <f t="shared" si="24"/>
        <v>0</v>
      </c>
      <c r="F388" s="291">
        <f t="shared" si="25"/>
        <v>0</v>
      </c>
      <c r="G388" s="1237">
        <f t="shared" si="26"/>
        <v>0</v>
      </c>
      <c r="H388" s="1237">
        <f t="shared" si="26"/>
        <v>0</v>
      </c>
    </row>
    <row r="389" spans="1:8" ht="16.5">
      <c r="A389" s="272" t="s">
        <v>81</v>
      </c>
      <c r="B389" s="1238" t="s">
        <v>1683</v>
      </c>
      <c r="C389" s="291">
        <f t="shared" si="22"/>
        <v>12363.99</v>
      </c>
      <c r="D389" s="1237">
        <f t="shared" si="24"/>
        <v>12363.99</v>
      </c>
      <c r="E389" s="1237">
        <f t="shared" si="24"/>
        <v>0</v>
      </c>
      <c r="F389" s="291">
        <f t="shared" si="25"/>
        <v>12363.99</v>
      </c>
      <c r="G389" s="1237">
        <f t="shared" si="26"/>
        <v>12363.99</v>
      </c>
      <c r="H389" s="1237">
        <f t="shared" si="26"/>
        <v>0</v>
      </c>
    </row>
    <row r="390" spans="1:8" ht="16.5">
      <c r="A390" s="272" t="s">
        <v>83</v>
      </c>
      <c r="B390" s="1238" t="s">
        <v>1684</v>
      </c>
      <c r="C390" s="291">
        <f t="shared" si="22"/>
        <v>1663</v>
      </c>
      <c r="D390" s="1237">
        <f>D404+D405</f>
        <v>1663</v>
      </c>
      <c r="E390" s="1237">
        <f>E404+E405</f>
        <v>0</v>
      </c>
      <c r="F390" s="291">
        <f t="shared" si="25"/>
        <v>1663</v>
      </c>
      <c r="G390" s="1237">
        <f>G404+G405</f>
        <v>1663</v>
      </c>
      <c r="H390" s="1237">
        <f>H404+H405</f>
        <v>0</v>
      </c>
    </row>
    <row r="391" spans="1:8" ht="16.5">
      <c r="A391" s="272" t="s">
        <v>85</v>
      </c>
      <c r="B391" s="1238" t="s">
        <v>1685</v>
      </c>
      <c r="C391" s="291">
        <f t="shared" si="22"/>
        <v>0</v>
      </c>
      <c r="D391" s="1237">
        <f t="shared" ref="D391:E394" si="27">D406</f>
        <v>0</v>
      </c>
      <c r="E391" s="1237">
        <f t="shared" si="27"/>
        <v>0</v>
      </c>
      <c r="F391" s="291">
        <f t="shared" si="25"/>
        <v>0</v>
      </c>
      <c r="G391" s="1237">
        <f t="shared" ref="G391:H394" si="28">G406</f>
        <v>0</v>
      </c>
      <c r="H391" s="1237">
        <f t="shared" si="28"/>
        <v>0</v>
      </c>
    </row>
    <row r="392" spans="1:8" ht="16.5">
      <c r="A392" s="272" t="s">
        <v>87</v>
      </c>
      <c r="B392" s="1238" t="s">
        <v>1686</v>
      </c>
      <c r="C392" s="291">
        <f t="shared" si="22"/>
        <v>0</v>
      </c>
      <c r="D392" s="1237">
        <f t="shared" si="27"/>
        <v>0</v>
      </c>
      <c r="E392" s="1237">
        <f t="shared" si="27"/>
        <v>0</v>
      </c>
      <c r="F392" s="291">
        <f t="shared" si="25"/>
        <v>0</v>
      </c>
      <c r="G392" s="1237">
        <f t="shared" si="28"/>
        <v>0</v>
      </c>
      <c r="H392" s="1237">
        <f t="shared" si="28"/>
        <v>0</v>
      </c>
    </row>
    <row r="393" spans="1:8" ht="16.5">
      <c r="A393" s="272" t="s">
        <v>25</v>
      </c>
      <c r="B393" s="1238" t="s">
        <v>1687</v>
      </c>
      <c r="C393" s="291">
        <f t="shared" si="22"/>
        <v>0</v>
      </c>
      <c r="D393" s="1237">
        <f t="shared" si="27"/>
        <v>0</v>
      </c>
      <c r="E393" s="1237">
        <f t="shared" si="27"/>
        <v>0</v>
      </c>
      <c r="F393" s="291">
        <f t="shared" si="25"/>
        <v>0</v>
      </c>
      <c r="G393" s="1237">
        <f t="shared" si="28"/>
        <v>0</v>
      </c>
      <c r="H393" s="1237">
        <f t="shared" si="28"/>
        <v>0</v>
      </c>
    </row>
    <row r="394" spans="1:8" ht="16.5">
      <c r="A394" s="272" t="s">
        <v>89</v>
      </c>
      <c r="B394" s="1238" t="s">
        <v>1688</v>
      </c>
      <c r="C394" s="291">
        <f t="shared" si="22"/>
        <v>0</v>
      </c>
      <c r="D394" s="1237">
        <f t="shared" si="27"/>
        <v>0</v>
      </c>
      <c r="E394" s="1237">
        <f t="shared" si="27"/>
        <v>0</v>
      </c>
      <c r="F394" s="291">
        <f t="shared" si="25"/>
        <v>0</v>
      </c>
      <c r="G394" s="1237">
        <f t="shared" si="28"/>
        <v>0</v>
      </c>
      <c r="H394" s="1237">
        <f t="shared" si="28"/>
        <v>0</v>
      </c>
    </row>
    <row r="395" spans="1:8" ht="16.5">
      <c r="A395" s="272" t="s">
        <v>91</v>
      </c>
      <c r="B395" s="1238" t="s">
        <v>1689</v>
      </c>
      <c r="C395" s="291">
        <f t="shared" si="22"/>
        <v>1272262.75</v>
      </c>
      <c r="D395" s="1237">
        <f>D410+D417+D419+D424+D421</f>
        <v>330</v>
      </c>
      <c r="E395" s="1237">
        <f>E410+E417+E419+E424+E421</f>
        <v>1271932.75</v>
      </c>
      <c r="F395" s="291">
        <f t="shared" si="25"/>
        <v>721875.42</v>
      </c>
      <c r="G395" s="1237">
        <f>G410+G417+G419+G424+G421</f>
        <v>330</v>
      </c>
      <c r="H395" s="1237">
        <f>H410+H417+H419+H424+H421</f>
        <v>721545.42</v>
      </c>
    </row>
    <row r="396" spans="1:8" ht="39">
      <c r="A396" s="272" t="s">
        <v>62</v>
      </c>
      <c r="B396" s="1238" t="s">
        <v>140</v>
      </c>
      <c r="C396" s="291">
        <f t="shared" si="22"/>
        <v>4861700</v>
      </c>
      <c r="D396" s="1237">
        <f>D420+D422+D425+D429+D430+D431+D432+D418</f>
        <v>4184600</v>
      </c>
      <c r="E396" s="1237">
        <f>E420+E422+E425+E429+E430+E431+E432+E418</f>
        <v>677100</v>
      </c>
      <c r="F396" s="291">
        <f>G396</f>
        <v>600000</v>
      </c>
      <c r="G396" s="1237">
        <f>G420+G422+G425+G429+G430+G431+G432+G418</f>
        <v>600000</v>
      </c>
      <c r="H396" s="1237">
        <f>H420+H422+H425+H429+H430+H431+H432+H418</f>
        <v>0</v>
      </c>
    </row>
    <row r="397" spans="1:8" ht="16.5">
      <c r="A397" s="272" t="s">
        <v>95</v>
      </c>
      <c r="B397" s="1238" t="s">
        <v>1678</v>
      </c>
      <c r="C397" s="291">
        <f t="shared" si="22"/>
        <v>553972.52</v>
      </c>
      <c r="D397" s="1237">
        <f>D411+D426+D427+D428</f>
        <v>553972.52</v>
      </c>
      <c r="E397" s="1237">
        <f>E411+E426+E427+E428</f>
        <v>0</v>
      </c>
      <c r="F397" s="291">
        <f>G397+H397</f>
        <v>553972.52</v>
      </c>
      <c r="G397" s="1237">
        <f>G411+G426+G427+G428</f>
        <v>553972.52</v>
      </c>
      <c r="H397" s="1237">
        <f>H411+H426+H427+H428</f>
        <v>0</v>
      </c>
    </row>
    <row r="398" spans="1:8" ht="16.5">
      <c r="A398" s="272" t="s">
        <v>97</v>
      </c>
      <c r="B398" s="1238" t="s">
        <v>1679</v>
      </c>
      <c r="C398" s="291">
        <f t="shared" si="22"/>
        <v>5302.65</v>
      </c>
      <c r="D398" s="1237">
        <f>D412+D413</f>
        <v>5302.65</v>
      </c>
      <c r="E398" s="1237">
        <f>E412+E413</f>
        <v>0</v>
      </c>
      <c r="F398" s="291">
        <f>G398+H398</f>
        <v>5302.65</v>
      </c>
      <c r="G398" s="1237">
        <f>G412+G413</f>
        <v>5302.65</v>
      </c>
      <c r="H398" s="1237">
        <f>H412+H413</f>
        <v>0</v>
      </c>
    </row>
    <row r="399" spans="1:8" ht="17.25" thickBot="1">
      <c r="A399" s="1215" t="s">
        <v>100</v>
      </c>
      <c r="B399" s="1216" t="s">
        <v>1680</v>
      </c>
      <c r="C399" s="1213">
        <f t="shared" si="22"/>
        <v>700</v>
      </c>
      <c r="D399" s="1239">
        <f>D414+D415</f>
        <v>700</v>
      </c>
      <c r="E399" s="1239">
        <f>E414+E415</f>
        <v>0</v>
      </c>
      <c r="F399" s="1230">
        <f>G399+H399</f>
        <v>700</v>
      </c>
      <c r="G399" s="1239">
        <f>G414+G415</f>
        <v>700</v>
      </c>
      <c r="H399" s="1239">
        <f>H414+H415</f>
        <v>0</v>
      </c>
    </row>
    <row r="400" spans="1:8" ht="79.5" thickBot="1">
      <c r="A400" s="1272" t="s">
        <v>256</v>
      </c>
      <c r="B400" s="1276" t="s">
        <v>386</v>
      </c>
      <c r="C400" s="1208">
        <f>D400</f>
        <v>61300</v>
      </c>
      <c r="D400" s="1270">
        <f>SUM(D401:D415)</f>
        <v>61300</v>
      </c>
      <c r="E400" s="1270"/>
      <c r="F400" s="1208">
        <f>G400</f>
        <v>61300</v>
      </c>
      <c r="G400" s="1270">
        <f>SUM(G401:G415)</f>
        <v>61300</v>
      </c>
      <c r="H400" s="1275"/>
    </row>
    <row r="401" spans="1:8" ht="16.5">
      <c r="A401" s="17" t="s">
        <v>77</v>
      </c>
      <c r="B401" s="43" t="s">
        <v>387</v>
      </c>
      <c r="C401" s="151">
        <f t="shared" ref="C401:C426" si="29">D401+E401</f>
        <v>40940.36</v>
      </c>
      <c r="D401" s="96">
        <v>40940.36</v>
      </c>
      <c r="E401" s="1397"/>
      <c r="F401" s="151">
        <f t="shared" ref="F401:F423" si="30">G401+H401</f>
        <v>40940.36</v>
      </c>
      <c r="G401" s="96">
        <v>40940.36</v>
      </c>
      <c r="H401" s="1397"/>
    </row>
    <row r="402" spans="1:8" ht="16.5">
      <c r="A402" s="18" t="s">
        <v>79</v>
      </c>
      <c r="B402" s="43" t="s">
        <v>388</v>
      </c>
      <c r="C402" s="98">
        <f t="shared" si="29"/>
        <v>0</v>
      </c>
      <c r="D402" s="99"/>
      <c r="E402" s="1396"/>
      <c r="F402" s="98">
        <f t="shared" si="30"/>
        <v>0</v>
      </c>
      <c r="G402" s="99"/>
      <c r="H402" s="1396"/>
    </row>
    <row r="403" spans="1:8" ht="16.5">
      <c r="A403" s="18" t="s">
        <v>81</v>
      </c>
      <c r="B403" s="43" t="s">
        <v>389</v>
      </c>
      <c r="C403" s="98">
        <f t="shared" si="29"/>
        <v>12363.99</v>
      </c>
      <c r="D403" s="99">
        <v>12363.99</v>
      </c>
      <c r="E403" s="1396"/>
      <c r="F403" s="98">
        <f t="shared" si="30"/>
        <v>12363.99</v>
      </c>
      <c r="G403" s="99">
        <v>12363.99</v>
      </c>
      <c r="H403" s="1396"/>
    </row>
    <row r="404" spans="1:8" ht="16.5">
      <c r="A404" s="18" t="s">
        <v>83</v>
      </c>
      <c r="B404" s="43" t="s">
        <v>390</v>
      </c>
      <c r="C404" s="98">
        <f t="shared" si="29"/>
        <v>1283</v>
      </c>
      <c r="D404" s="99">
        <v>1283</v>
      </c>
      <c r="E404" s="1396"/>
      <c r="F404" s="98">
        <f t="shared" si="30"/>
        <v>1283</v>
      </c>
      <c r="G404" s="99">
        <v>1283</v>
      </c>
      <c r="H404" s="1396"/>
    </row>
    <row r="405" spans="1:8" ht="16.5">
      <c r="A405" s="18" t="s">
        <v>83</v>
      </c>
      <c r="B405" s="43" t="s">
        <v>391</v>
      </c>
      <c r="C405" s="98">
        <f t="shared" si="29"/>
        <v>380</v>
      </c>
      <c r="D405" s="99">
        <v>380</v>
      </c>
      <c r="E405" s="1396"/>
      <c r="F405" s="98">
        <f t="shared" si="30"/>
        <v>380</v>
      </c>
      <c r="G405" s="99">
        <v>380</v>
      </c>
      <c r="H405" s="1396"/>
    </row>
    <row r="406" spans="1:8" ht="16.5">
      <c r="A406" s="18" t="s">
        <v>85</v>
      </c>
      <c r="B406" s="43" t="s">
        <v>392</v>
      </c>
      <c r="C406" s="98">
        <f t="shared" si="29"/>
        <v>0</v>
      </c>
      <c r="D406" s="99"/>
      <c r="E406" s="1396"/>
      <c r="F406" s="98">
        <f t="shared" si="30"/>
        <v>0</v>
      </c>
      <c r="G406" s="99"/>
      <c r="H406" s="1396"/>
    </row>
    <row r="407" spans="1:8" ht="16.5">
      <c r="A407" s="18" t="s">
        <v>87</v>
      </c>
      <c r="B407" s="43" t="s">
        <v>393</v>
      </c>
      <c r="C407" s="98">
        <f t="shared" si="29"/>
        <v>0</v>
      </c>
      <c r="D407" s="99"/>
      <c r="E407" s="1396"/>
      <c r="F407" s="98">
        <f t="shared" si="30"/>
        <v>0</v>
      </c>
      <c r="G407" s="99"/>
      <c r="H407" s="1396"/>
    </row>
    <row r="408" spans="1:8" ht="16.5">
      <c r="A408" s="18" t="s">
        <v>25</v>
      </c>
      <c r="B408" s="43" t="s">
        <v>394</v>
      </c>
      <c r="C408" s="98">
        <f t="shared" si="29"/>
        <v>0</v>
      </c>
      <c r="D408" s="99"/>
      <c r="E408" s="1396"/>
      <c r="F408" s="98">
        <f t="shared" si="30"/>
        <v>0</v>
      </c>
      <c r="G408" s="99"/>
      <c r="H408" s="1396"/>
    </row>
    <row r="409" spans="1:8" ht="16.5">
      <c r="A409" s="18" t="s">
        <v>89</v>
      </c>
      <c r="B409" s="43" t="s">
        <v>395</v>
      </c>
      <c r="C409" s="98">
        <f t="shared" si="29"/>
        <v>0</v>
      </c>
      <c r="D409" s="99"/>
      <c r="E409" s="1396"/>
      <c r="F409" s="98">
        <f t="shared" si="30"/>
        <v>0</v>
      </c>
      <c r="G409" s="99"/>
      <c r="H409" s="1396"/>
    </row>
    <row r="410" spans="1:8" ht="16.5">
      <c r="A410" s="18" t="s">
        <v>91</v>
      </c>
      <c r="B410" s="43" t="s">
        <v>396</v>
      </c>
      <c r="C410" s="98">
        <f t="shared" si="29"/>
        <v>330</v>
      </c>
      <c r="D410" s="99">
        <v>330</v>
      </c>
      <c r="E410" s="1396"/>
      <c r="F410" s="98">
        <f t="shared" si="30"/>
        <v>330</v>
      </c>
      <c r="G410" s="99">
        <v>330</v>
      </c>
      <c r="H410" s="1396"/>
    </row>
    <row r="411" spans="1:8" ht="16.5">
      <c r="A411" s="18" t="s">
        <v>95</v>
      </c>
      <c r="B411" s="43" t="s">
        <v>397</v>
      </c>
      <c r="C411" s="98">
        <f t="shared" si="29"/>
        <v>0</v>
      </c>
      <c r="D411" s="99"/>
      <c r="E411" s="1396"/>
      <c r="F411" s="98">
        <f t="shared" si="30"/>
        <v>0</v>
      </c>
      <c r="G411" s="99"/>
      <c r="H411" s="1396"/>
    </row>
    <row r="412" spans="1:8" ht="16.5">
      <c r="A412" s="18" t="s">
        <v>97</v>
      </c>
      <c r="B412" s="43" t="s">
        <v>398</v>
      </c>
      <c r="C412" s="98">
        <f t="shared" si="29"/>
        <v>0</v>
      </c>
      <c r="D412" s="99"/>
      <c r="E412" s="1396"/>
      <c r="F412" s="98">
        <f t="shared" si="30"/>
        <v>0</v>
      </c>
      <c r="G412" s="99"/>
      <c r="H412" s="1396"/>
    </row>
    <row r="413" spans="1:8" ht="16.5">
      <c r="A413" s="18" t="s">
        <v>97</v>
      </c>
      <c r="B413" s="43" t="s">
        <v>399</v>
      </c>
      <c r="C413" s="98">
        <f t="shared" si="29"/>
        <v>5302.65</v>
      </c>
      <c r="D413" s="99">
        <v>5302.65</v>
      </c>
      <c r="E413" s="1396"/>
      <c r="F413" s="98">
        <f t="shared" si="30"/>
        <v>5302.65</v>
      </c>
      <c r="G413" s="99">
        <v>5302.65</v>
      </c>
      <c r="H413" s="1396"/>
    </row>
    <row r="414" spans="1:8" ht="16.5">
      <c r="A414" s="19" t="s">
        <v>100</v>
      </c>
      <c r="B414" s="43" t="s">
        <v>400</v>
      </c>
      <c r="C414" s="98">
        <f t="shared" si="29"/>
        <v>0</v>
      </c>
      <c r="D414" s="121"/>
      <c r="E414" s="1398"/>
      <c r="F414" s="98">
        <f t="shared" si="30"/>
        <v>0</v>
      </c>
      <c r="G414" s="99"/>
      <c r="H414" s="1396"/>
    </row>
    <row r="415" spans="1:8" ht="17.25" thickBot="1">
      <c r="A415" s="19" t="s">
        <v>100</v>
      </c>
      <c r="B415" s="423" t="s">
        <v>401</v>
      </c>
      <c r="C415" s="369">
        <f t="shared" si="29"/>
        <v>700</v>
      </c>
      <c r="D415" s="102">
        <v>700</v>
      </c>
      <c r="E415" s="1398"/>
      <c r="F415" s="369">
        <f t="shared" si="30"/>
        <v>700</v>
      </c>
      <c r="G415" s="121">
        <v>700</v>
      </c>
      <c r="H415" s="1407"/>
    </row>
    <row r="416" spans="1:8" ht="17.25" thickBot="1">
      <c r="A416" s="1277"/>
      <c r="B416" s="1269" t="s">
        <v>2204</v>
      </c>
      <c r="C416" s="1208">
        <f t="shared" si="29"/>
        <v>5353800</v>
      </c>
      <c r="D416" s="1278">
        <f>SUM(D417:D422)</f>
        <v>3554600</v>
      </c>
      <c r="E416" s="1278">
        <f>SUM(E417:E422)</f>
        <v>1799200</v>
      </c>
      <c r="F416" s="1208">
        <f t="shared" si="30"/>
        <v>571838.54</v>
      </c>
      <c r="G416" s="1278">
        <f>SUM(G417:G422)</f>
        <v>0</v>
      </c>
      <c r="H416" s="1279">
        <f>SUM(H417:H422)</f>
        <v>571838.54</v>
      </c>
    </row>
    <row r="417" spans="1:8" ht="65.25" thickBot="1">
      <c r="A417" s="1451" t="s">
        <v>2205</v>
      </c>
      <c r="B417" s="1296" t="s">
        <v>1970</v>
      </c>
      <c r="C417" s="369">
        <f t="shared" si="29"/>
        <v>516000</v>
      </c>
      <c r="D417" s="430"/>
      <c r="E417" s="1410">
        <v>516000</v>
      </c>
      <c r="F417" s="369">
        <f>G417+H417</f>
        <v>516000</v>
      </c>
      <c r="G417" s="430"/>
      <c r="H417" s="1410">
        <v>516000</v>
      </c>
    </row>
    <row r="418" spans="1:8" ht="52.5" thickBot="1">
      <c r="A418" s="1540" t="s">
        <v>403</v>
      </c>
      <c r="B418" s="1541" t="s">
        <v>402</v>
      </c>
      <c r="C418" s="1542">
        <f t="shared" si="29"/>
        <v>3554600</v>
      </c>
      <c r="D418" s="1543">
        <v>3554600</v>
      </c>
      <c r="E418" s="1543"/>
      <c r="F418" s="1542">
        <f>G418+H418</f>
        <v>0</v>
      </c>
      <c r="G418" s="1543"/>
      <c r="H418" s="1543"/>
    </row>
    <row r="419" spans="1:8" ht="26.25">
      <c r="A419" s="474" t="s">
        <v>2206</v>
      </c>
      <c r="B419" s="1107" t="s">
        <v>1973</v>
      </c>
      <c r="C419" s="151">
        <f t="shared" si="29"/>
        <v>0</v>
      </c>
      <c r="D419" s="427"/>
      <c r="E419" s="1408"/>
      <c r="F419" s="151">
        <f>G419+H419</f>
        <v>0</v>
      </c>
      <c r="G419" s="427"/>
      <c r="H419" s="1408"/>
    </row>
    <row r="420" spans="1:8" ht="64.5">
      <c r="A420" s="1178" t="s">
        <v>2205</v>
      </c>
      <c r="B420" s="1101" t="s">
        <v>1971</v>
      </c>
      <c r="C420" s="98">
        <f t="shared" si="29"/>
        <v>0</v>
      </c>
      <c r="D420" s="375"/>
      <c r="E420" s="1409"/>
      <c r="F420" s="98">
        <f>G420+H420</f>
        <v>0</v>
      </c>
      <c r="G420" s="375"/>
      <c r="H420" s="1409"/>
    </row>
    <row r="421" spans="1:8" ht="16.5">
      <c r="A421" s="1178"/>
      <c r="B421" s="1101" t="s">
        <v>543</v>
      </c>
      <c r="C421" s="98">
        <f t="shared" si="29"/>
        <v>606100</v>
      </c>
      <c r="D421" s="375"/>
      <c r="E421" s="1409">
        <v>606100</v>
      </c>
      <c r="F421" s="98">
        <f t="shared" si="30"/>
        <v>55838.54</v>
      </c>
      <c r="G421" s="375"/>
      <c r="H421" s="1409">
        <v>55838.54</v>
      </c>
    </row>
    <row r="422" spans="1:8" ht="17.25" thickBot="1">
      <c r="A422" s="1199"/>
      <c r="B422" s="1200" t="s">
        <v>544</v>
      </c>
      <c r="C422" s="369">
        <f t="shared" si="29"/>
        <v>677100</v>
      </c>
      <c r="D422" s="430"/>
      <c r="E422" s="1410">
        <v>677100</v>
      </c>
      <c r="F422" s="369">
        <f t="shared" si="30"/>
        <v>0</v>
      </c>
      <c r="G422" s="430"/>
      <c r="H422" s="1411"/>
    </row>
    <row r="423" spans="1:8" ht="32.25" thickBot="1">
      <c r="A423" s="1268" t="s">
        <v>141</v>
      </c>
      <c r="B423" s="1288" t="s">
        <v>2032</v>
      </c>
      <c r="C423" s="1208">
        <f t="shared" si="29"/>
        <v>1333805.27</v>
      </c>
      <c r="D423" s="1274">
        <f>SUM(D424:D432)</f>
        <v>1183972.52</v>
      </c>
      <c r="E423" s="1274">
        <f>SUM(E424:E432)</f>
        <v>149832.75</v>
      </c>
      <c r="F423" s="1208">
        <f t="shared" si="30"/>
        <v>1303679.3999999999</v>
      </c>
      <c r="G423" s="1274">
        <f>SUM(G424:G432)</f>
        <v>1153972.52</v>
      </c>
      <c r="H423" s="1281">
        <f>SUM(H424:H432)</f>
        <v>149706.88</v>
      </c>
    </row>
    <row r="424" spans="1:8" ht="26.25">
      <c r="A424" s="17" t="s">
        <v>1070</v>
      </c>
      <c r="B424" s="723" t="s">
        <v>2021</v>
      </c>
      <c r="C424" s="151">
        <f t="shared" si="29"/>
        <v>149832.75</v>
      </c>
      <c r="D424" s="96"/>
      <c r="E424" s="1397">
        <v>149832.75</v>
      </c>
      <c r="F424" s="151">
        <f>G424</f>
        <v>0</v>
      </c>
      <c r="G424" s="96"/>
      <c r="H424" s="1412">
        <v>149706.88</v>
      </c>
    </row>
    <row r="425" spans="1:8" ht="82.5">
      <c r="A425" s="1544" t="s">
        <v>602</v>
      </c>
      <c r="B425" s="723" t="s">
        <v>404</v>
      </c>
      <c r="C425" s="151">
        <f t="shared" si="29"/>
        <v>30000</v>
      </c>
      <c r="D425" s="96">
        <v>30000</v>
      </c>
      <c r="E425" s="1397"/>
      <c r="F425" s="151">
        <f>G425+H425</f>
        <v>30000</v>
      </c>
      <c r="G425" s="96">
        <v>30000</v>
      </c>
      <c r="H425" s="1412"/>
    </row>
    <row r="426" spans="1:8" ht="16.5">
      <c r="A426" s="9" t="s">
        <v>95</v>
      </c>
      <c r="B426" s="31" t="s">
        <v>2022</v>
      </c>
      <c r="C426" s="98">
        <f t="shared" si="29"/>
        <v>54172.52</v>
      </c>
      <c r="D426" s="99">
        <v>54172.52</v>
      </c>
      <c r="E426" s="1396"/>
      <c r="F426" s="98">
        <f t="shared" ref="F426:F436" si="31">G426+H426</f>
        <v>54172.52</v>
      </c>
      <c r="G426" s="99">
        <v>54172.52</v>
      </c>
      <c r="H426" s="1396"/>
    </row>
    <row r="427" spans="1:8" ht="64.5">
      <c r="A427" s="9" t="s">
        <v>603</v>
      </c>
      <c r="B427" s="31" t="s">
        <v>410</v>
      </c>
      <c r="C427" s="98">
        <f>D427</f>
        <v>120000</v>
      </c>
      <c r="D427" s="99">
        <v>120000</v>
      </c>
      <c r="E427" s="1396"/>
      <c r="F427" s="98">
        <f>G427</f>
        <v>120000</v>
      </c>
      <c r="G427" s="99">
        <v>120000</v>
      </c>
      <c r="H427" s="1396"/>
    </row>
    <row r="428" spans="1:8" ht="51.75">
      <c r="A428" s="19" t="s">
        <v>236</v>
      </c>
      <c r="B428" s="32" t="s">
        <v>409</v>
      </c>
      <c r="C428" s="149">
        <f>D428+E428</f>
        <v>379800</v>
      </c>
      <c r="D428" s="102">
        <v>379800</v>
      </c>
      <c r="E428" s="1376"/>
      <c r="F428" s="149">
        <f>G428+H428</f>
        <v>379800</v>
      </c>
      <c r="G428" s="102">
        <v>379800</v>
      </c>
      <c r="H428" s="1376"/>
    </row>
    <row r="429" spans="1:8" ht="66">
      <c r="A429" s="1544" t="s">
        <v>407</v>
      </c>
      <c r="B429" s="31" t="s">
        <v>408</v>
      </c>
      <c r="C429" s="98">
        <f>D429</f>
        <v>468000</v>
      </c>
      <c r="D429" s="99">
        <v>468000</v>
      </c>
      <c r="E429" s="1396"/>
      <c r="F429" s="98">
        <f>G429</f>
        <v>444600</v>
      </c>
      <c r="G429" s="99">
        <v>444600</v>
      </c>
      <c r="H429" s="1396"/>
    </row>
    <row r="430" spans="1:8" ht="51.75">
      <c r="A430" s="19" t="s">
        <v>2023</v>
      </c>
      <c r="B430" s="31" t="s">
        <v>404</v>
      </c>
      <c r="C430" s="98">
        <f t="shared" ref="C430:C462" si="32">D430+E430</f>
        <v>0</v>
      </c>
      <c r="D430" s="99"/>
      <c r="E430" s="1396"/>
      <c r="F430" s="98">
        <f t="shared" si="31"/>
        <v>0</v>
      </c>
      <c r="G430" s="99"/>
      <c r="H430" s="1396"/>
    </row>
    <row r="431" spans="1:8" ht="66">
      <c r="A431" s="1544" t="s">
        <v>406</v>
      </c>
      <c r="B431" s="1106" t="s">
        <v>405</v>
      </c>
      <c r="C431" s="149">
        <f t="shared" si="32"/>
        <v>132000</v>
      </c>
      <c r="D431" s="651">
        <v>132000</v>
      </c>
      <c r="E431" s="1376"/>
      <c r="F431" s="149">
        <f t="shared" si="31"/>
        <v>125400</v>
      </c>
      <c r="G431" s="651">
        <v>125400</v>
      </c>
      <c r="H431" s="1376"/>
    </row>
    <row r="432" spans="1:8" ht="78" thickBot="1">
      <c r="A432" s="19" t="s">
        <v>1071</v>
      </c>
      <c r="B432" s="31" t="s">
        <v>1514</v>
      </c>
      <c r="C432" s="98">
        <f t="shared" si="32"/>
        <v>0</v>
      </c>
      <c r="D432" s="99"/>
      <c r="E432" s="1396"/>
      <c r="F432" s="98">
        <f t="shared" si="31"/>
        <v>0</v>
      </c>
      <c r="G432" s="99"/>
      <c r="H432" s="1396"/>
    </row>
    <row r="433" spans="1:8" ht="36.75" thickBot="1">
      <c r="A433" s="491" t="s">
        <v>142</v>
      </c>
      <c r="B433" s="513" t="s">
        <v>143</v>
      </c>
      <c r="C433" s="448">
        <f t="shared" si="32"/>
        <v>63429255.210000001</v>
      </c>
      <c r="D433" s="449">
        <f>SUM(D434:D441)</f>
        <v>53398564.109999999</v>
      </c>
      <c r="E433" s="449">
        <f>SUM(E434:E441)</f>
        <v>10030691.1</v>
      </c>
      <c r="F433" s="448">
        <f t="shared" si="31"/>
        <v>52964377.510000005</v>
      </c>
      <c r="G433" s="449">
        <f>SUM(G434:G441)</f>
        <v>43002540.120000005</v>
      </c>
      <c r="H433" s="449">
        <f>SUM(H434:H441)</f>
        <v>9961837.3900000006</v>
      </c>
    </row>
    <row r="434" spans="1:8" ht="16.5">
      <c r="A434" s="272" t="s">
        <v>85</v>
      </c>
      <c r="B434" s="461" t="s">
        <v>795</v>
      </c>
      <c r="C434" s="462">
        <f t="shared" si="32"/>
        <v>1640000</v>
      </c>
      <c r="D434" s="463">
        <f>D443+D452+D462</f>
        <v>0</v>
      </c>
      <c r="E434" s="463">
        <f>E443+E452+E462+E493+E499</f>
        <v>1640000</v>
      </c>
      <c r="F434" s="462">
        <f t="shared" si="31"/>
        <v>1609275.7200000002</v>
      </c>
      <c r="G434" s="463">
        <f>G443+G452+G462</f>
        <v>0</v>
      </c>
      <c r="H434" s="463">
        <f>H443+H452+H462+H493+H499</f>
        <v>1609275.7200000002</v>
      </c>
    </row>
    <row r="435" spans="1:8" ht="16.5">
      <c r="A435" s="460"/>
      <c r="B435" s="461" t="s">
        <v>2078</v>
      </c>
      <c r="C435" s="466">
        <f t="shared" si="32"/>
        <v>122000</v>
      </c>
      <c r="D435" s="463"/>
      <c r="E435" s="463">
        <f>E478</f>
        <v>122000</v>
      </c>
      <c r="F435" s="466">
        <f t="shared" si="31"/>
        <v>121347.11</v>
      </c>
      <c r="G435" s="463"/>
      <c r="H435" s="463">
        <f>H478</f>
        <v>121347.11</v>
      </c>
    </row>
    <row r="436" spans="1:8" ht="16.5">
      <c r="A436" s="460" t="s">
        <v>89</v>
      </c>
      <c r="B436" s="461" t="s">
        <v>2078</v>
      </c>
      <c r="C436" s="466">
        <f t="shared" si="32"/>
        <v>33523663.539999999</v>
      </c>
      <c r="D436" s="463">
        <f>D448+D444+D453+D463+D470+D486+D500</f>
        <v>30180500.579999998</v>
      </c>
      <c r="E436" s="463">
        <f>E444+E453+E463+E470+E479+E486+E494+E500</f>
        <v>3343162.96</v>
      </c>
      <c r="F436" s="466">
        <f t="shared" si="31"/>
        <v>23121313.48</v>
      </c>
      <c r="G436" s="463">
        <f>G448+G444+G453+G463+G470+G486+G500</f>
        <v>19784476.59</v>
      </c>
      <c r="H436" s="463">
        <f>H444+H453+H463+H470+H479+H486+H494+H500</f>
        <v>3336836.89</v>
      </c>
    </row>
    <row r="437" spans="1:8" ht="16.5">
      <c r="A437" s="272" t="s">
        <v>91</v>
      </c>
      <c r="B437" s="451" t="s">
        <v>1273</v>
      </c>
      <c r="C437" s="466">
        <f t="shared" si="32"/>
        <v>1176796.04</v>
      </c>
      <c r="D437" s="463">
        <f>D445+D449+D456+D457+D464+D471+D480+D487+D495+D501</f>
        <v>0</v>
      </c>
      <c r="E437" s="463">
        <f>E445+E449+E456+E457+E464+E471+E480+E487+E495+E501</f>
        <v>1176796.04</v>
      </c>
      <c r="F437" s="466">
        <f t="shared" ref="F437:F459" si="33">G437+H437</f>
        <v>1166754.3400000001</v>
      </c>
      <c r="G437" s="463">
        <f>G445+G449+G456+G457+G464+G471+G480+G487+G495+G501</f>
        <v>0</v>
      </c>
      <c r="H437" s="463">
        <f>H445+H449+H456+H457+H464+H471+H480+H487+H495+H501</f>
        <v>1166754.3400000001</v>
      </c>
    </row>
    <row r="438" spans="1:8" ht="33" customHeight="1">
      <c r="A438" s="1240" t="s">
        <v>144</v>
      </c>
      <c r="B438" s="451" t="s">
        <v>2415</v>
      </c>
      <c r="C438" s="466">
        <f t="shared" si="32"/>
        <v>22703153.100000001</v>
      </c>
      <c r="D438" s="452">
        <f>D458+D468+D475+D488+D491+D496+D502+D467+D473+D481</f>
        <v>22306700</v>
      </c>
      <c r="E438" s="452">
        <f>E458+E468+E488+E491+E496+E502+E467+E473+E481</f>
        <v>396453.1</v>
      </c>
      <c r="F438" s="466">
        <f t="shared" si="33"/>
        <v>22688253.120000001</v>
      </c>
      <c r="G438" s="452">
        <f>G458+G468+G475+G488+G491+G496+G502+G467+G473+G481</f>
        <v>22306700</v>
      </c>
      <c r="H438" s="452">
        <f>H458+H468+H488+H491+H496+H502+H467+H473+H481</f>
        <v>381553.12</v>
      </c>
    </row>
    <row r="439" spans="1:8" ht="16.5">
      <c r="A439" s="272" t="s">
        <v>95</v>
      </c>
      <c r="B439" s="451" t="s">
        <v>1274</v>
      </c>
      <c r="C439" s="291">
        <f t="shared" si="32"/>
        <v>755213.53</v>
      </c>
      <c r="D439" s="452">
        <f>D469</f>
        <v>755213.53</v>
      </c>
      <c r="E439" s="452">
        <f>E469</f>
        <v>0</v>
      </c>
      <c r="F439" s="291">
        <f t="shared" si="33"/>
        <v>755213.53</v>
      </c>
      <c r="G439" s="452">
        <f>G469</f>
        <v>755213.53</v>
      </c>
      <c r="H439" s="452">
        <f>H469</f>
        <v>0</v>
      </c>
    </row>
    <row r="440" spans="1:8" ht="16.5">
      <c r="A440" s="1188" t="s">
        <v>97</v>
      </c>
      <c r="B440" s="451" t="s">
        <v>1591</v>
      </c>
      <c r="C440" s="291">
        <f t="shared" si="32"/>
        <v>1220491</v>
      </c>
      <c r="D440" s="1241">
        <f>D446+D450+D455+D460+D465+D472+D474+D482+D505</f>
        <v>0</v>
      </c>
      <c r="E440" s="1241">
        <f>E446+E450+E455+E460+E465+E472+E474+E482+E505</f>
        <v>1220491</v>
      </c>
      <c r="F440" s="291">
        <f t="shared" si="33"/>
        <v>1219778</v>
      </c>
      <c r="G440" s="1241">
        <f>G446+G450+G455+G460+G465+G472+G474+G482+G505</f>
        <v>0</v>
      </c>
      <c r="H440" s="1241">
        <f>H446+H450+H455+H460+H465+H472+H474+H482+H505</f>
        <v>1219778</v>
      </c>
    </row>
    <row r="441" spans="1:8" ht="17.25" thickBot="1">
      <c r="A441" s="1242" t="s">
        <v>100</v>
      </c>
      <c r="B441" s="1216" t="s">
        <v>241</v>
      </c>
      <c r="C441" s="1230">
        <f t="shared" si="32"/>
        <v>2287938</v>
      </c>
      <c r="D441" s="1243">
        <f>D447+D451+D454+D461+D466+D475+D483+D489+D497+D503</f>
        <v>156150</v>
      </c>
      <c r="E441" s="1243">
        <f>E447+E451+E454+E461+E466+E475+E483+E489+E497+E503+E506</f>
        <v>2131788</v>
      </c>
      <c r="F441" s="1230">
        <f t="shared" si="33"/>
        <v>2282442.21</v>
      </c>
      <c r="G441" s="1243">
        <f>G447+G451+G454+G461+G466+G475+G483+G489+G497+G503</f>
        <v>156150</v>
      </c>
      <c r="H441" s="1243">
        <f>H447+H451+H454+H461+H466+H475+H483+H489+H497+H503+H506</f>
        <v>2126292.21</v>
      </c>
    </row>
    <row r="442" spans="1:8" ht="17.25" thickBot="1">
      <c r="A442" s="1268" t="s">
        <v>2034</v>
      </c>
      <c r="B442" s="1269" t="s">
        <v>219</v>
      </c>
      <c r="C442" s="1280">
        <f t="shared" si="32"/>
        <v>3048343.5</v>
      </c>
      <c r="D442" s="1274">
        <f>SUM(D443:D458)</f>
        <v>0</v>
      </c>
      <c r="E442" s="1274">
        <f>SUM(E443:E458)</f>
        <v>3048343.5</v>
      </c>
      <c r="F442" s="1280">
        <f t="shared" si="33"/>
        <v>3042157.6399999997</v>
      </c>
      <c r="G442" s="1274">
        <f>SUM(G443:G458)</f>
        <v>0</v>
      </c>
      <c r="H442" s="1274">
        <f>SUM(H443:H458)</f>
        <v>3042157.6399999997</v>
      </c>
    </row>
    <row r="443" spans="1:8" ht="16.5">
      <c r="A443" s="1545"/>
      <c r="B443" s="1107" t="s">
        <v>904</v>
      </c>
      <c r="C443" s="151">
        <f t="shared" si="32"/>
        <v>0</v>
      </c>
      <c r="D443" s="1110"/>
      <c r="E443" s="1110"/>
      <c r="F443" s="151">
        <f>G443+H443</f>
        <v>0</v>
      </c>
      <c r="G443" s="1110"/>
      <c r="H443" s="1110"/>
    </row>
    <row r="444" spans="1:8" ht="16.5">
      <c r="A444" s="17" t="s">
        <v>89</v>
      </c>
      <c r="B444" s="1107" t="s">
        <v>1975</v>
      </c>
      <c r="C444" s="151">
        <f t="shared" si="32"/>
        <v>1150911.5</v>
      </c>
      <c r="D444" s="1110"/>
      <c r="E444" s="1174">
        <v>1150911.5</v>
      </c>
      <c r="F444" s="151">
        <f t="shared" si="33"/>
        <v>1150782.43</v>
      </c>
      <c r="G444" s="1110"/>
      <c r="H444" s="1174">
        <v>1150782.43</v>
      </c>
    </row>
    <row r="445" spans="1:8" ht="16.5">
      <c r="A445" s="17"/>
      <c r="B445" s="1101" t="s">
        <v>905</v>
      </c>
      <c r="C445" s="151">
        <f t="shared" si="32"/>
        <v>0</v>
      </c>
      <c r="D445" s="1110"/>
      <c r="E445" s="1174"/>
      <c r="F445" s="151">
        <f>G445+H445</f>
        <v>0</v>
      </c>
      <c r="G445" s="1110"/>
      <c r="H445" s="1174"/>
    </row>
    <row r="446" spans="1:8" ht="16.5">
      <c r="A446" s="1178" t="s">
        <v>97</v>
      </c>
      <c r="B446" s="1101" t="s">
        <v>1976</v>
      </c>
      <c r="C446" s="151">
        <f t="shared" si="32"/>
        <v>32691</v>
      </c>
      <c r="D446" s="1100"/>
      <c r="E446" s="1401">
        <v>32691</v>
      </c>
      <c r="F446" s="151">
        <f t="shared" si="33"/>
        <v>32000</v>
      </c>
      <c r="G446" s="1100"/>
      <c r="H446" s="1401">
        <v>32000</v>
      </c>
    </row>
    <row r="447" spans="1:8" ht="16.5">
      <c r="A447" s="1111" t="s">
        <v>100</v>
      </c>
      <c r="B447" s="1101" t="s">
        <v>1977</v>
      </c>
      <c r="C447" s="151">
        <f t="shared" si="32"/>
        <v>911796</v>
      </c>
      <c r="D447" s="1100"/>
      <c r="E447" s="1401">
        <v>911796</v>
      </c>
      <c r="F447" s="151">
        <f t="shared" si="33"/>
        <v>906744.02</v>
      </c>
      <c r="G447" s="1100"/>
      <c r="H447" s="1401">
        <v>906744.02</v>
      </c>
    </row>
    <row r="448" spans="1:8" ht="16.5">
      <c r="A448" s="18" t="s">
        <v>89</v>
      </c>
      <c r="B448" s="1107" t="s">
        <v>1978</v>
      </c>
      <c r="C448" s="151">
        <f t="shared" si="32"/>
        <v>0</v>
      </c>
      <c r="D448" s="1110"/>
      <c r="E448" s="1174"/>
      <c r="F448" s="151">
        <f t="shared" si="33"/>
        <v>0</v>
      </c>
      <c r="G448" s="1110"/>
      <c r="H448" s="1174"/>
    </row>
    <row r="449" spans="1:137" ht="16.5">
      <c r="A449" s="18" t="s">
        <v>91</v>
      </c>
      <c r="B449" s="1107" t="s">
        <v>1979</v>
      </c>
      <c r="C449" s="151">
        <f t="shared" si="32"/>
        <v>0</v>
      </c>
      <c r="D449" s="1110"/>
      <c r="E449" s="1174"/>
      <c r="F449" s="151">
        <f t="shared" si="33"/>
        <v>0</v>
      </c>
      <c r="G449" s="1110"/>
      <c r="H449" s="1174"/>
    </row>
    <row r="450" spans="1:137" ht="16.5">
      <c r="A450" s="1178" t="s">
        <v>97</v>
      </c>
      <c r="B450" s="1107" t="s">
        <v>1980</v>
      </c>
      <c r="C450" s="151">
        <f t="shared" si="32"/>
        <v>0</v>
      </c>
      <c r="D450" s="1110"/>
      <c r="E450" s="1174"/>
      <c r="F450" s="151">
        <f t="shared" si="33"/>
        <v>0</v>
      </c>
      <c r="G450" s="1110"/>
      <c r="H450" s="1174"/>
    </row>
    <row r="451" spans="1:137" ht="16.5">
      <c r="A451" s="1714"/>
      <c r="B451" s="1585" t="s">
        <v>584</v>
      </c>
      <c r="C451" s="1575">
        <f t="shared" si="32"/>
        <v>927200</v>
      </c>
      <c r="D451" s="1715"/>
      <c r="E451" s="1715">
        <v>927200</v>
      </c>
      <c r="F451" s="1575">
        <f>G451+H451</f>
        <v>926893.19</v>
      </c>
      <c r="G451" s="1715"/>
      <c r="H451" s="1715">
        <v>926893.19</v>
      </c>
    </row>
    <row r="452" spans="1:137" ht="16.5">
      <c r="A452" s="18" t="s">
        <v>85</v>
      </c>
      <c r="B452" s="1107" t="s">
        <v>1981</v>
      </c>
      <c r="C452" s="151">
        <f t="shared" si="32"/>
        <v>0</v>
      </c>
      <c r="D452" s="1110"/>
      <c r="E452" s="1174"/>
      <c r="F452" s="151">
        <f t="shared" si="33"/>
        <v>0</v>
      </c>
      <c r="G452" s="1110"/>
      <c r="H452" s="1174"/>
    </row>
    <row r="453" spans="1:137" ht="16.5">
      <c r="A453" s="17"/>
      <c r="B453" s="357" t="s">
        <v>1982</v>
      </c>
      <c r="C453" s="151">
        <f t="shared" si="32"/>
        <v>3820</v>
      </c>
      <c r="D453" s="1110"/>
      <c r="E453" s="1397">
        <v>3820</v>
      </c>
      <c r="F453" s="151">
        <f t="shared" si="33"/>
        <v>3813</v>
      </c>
      <c r="G453" s="544"/>
      <c r="H453" s="1397">
        <v>3813</v>
      </c>
    </row>
    <row r="454" spans="1:137" ht="16.5">
      <c r="A454" s="1111"/>
      <c r="B454" s="757" t="s">
        <v>545</v>
      </c>
      <c r="C454" s="113">
        <f t="shared" si="32"/>
        <v>1525</v>
      </c>
      <c r="D454" s="1112"/>
      <c r="E454" s="1398">
        <v>1525</v>
      </c>
      <c r="F454" s="151">
        <f t="shared" si="33"/>
        <v>1525</v>
      </c>
      <c r="G454" s="130"/>
      <c r="H454" s="1398">
        <v>1525</v>
      </c>
    </row>
    <row r="455" spans="1:137" ht="26.25">
      <c r="A455" s="1187" t="s">
        <v>1987</v>
      </c>
      <c r="B455" s="1576" t="s">
        <v>546</v>
      </c>
      <c r="C455" s="1575">
        <f t="shared" si="32"/>
        <v>20400</v>
      </c>
      <c r="D455" s="1574"/>
      <c r="E455" s="1535">
        <v>20400</v>
      </c>
      <c r="F455" s="1575">
        <f t="shared" si="33"/>
        <v>20400</v>
      </c>
      <c r="G455" s="1535"/>
      <c r="H455" s="1574">
        <v>20400</v>
      </c>
    </row>
    <row r="456" spans="1:137" ht="16.5">
      <c r="A456" s="18" t="s">
        <v>91</v>
      </c>
      <c r="B456" s="43" t="s">
        <v>1983</v>
      </c>
      <c r="C456" s="151">
        <f t="shared" si="32"/>
        <v>0</v>
      </c>
      <c r="D456" s="1100"/>
      <c r="E456" s="1396"/>
      <c r="F456" s="151">
        <f t="shared" si="33"/>
        <v>0</v>
      </c>
      <c r="G456" s="648"/>
      <c r="H456" s="1401"/>
    </row>
    <row r="457" spans="1:137" ht="16.5">
      <c r="A457" s="18" t="s">
        <v>91</v>
      </c>
      <c r="B457" s="43" t="s">
        <v>1984</v>
      </c>
      <c r="C457" s="151">
        <f t="shared" si="32"/>
        <v>0</v>
      </c>
      <c r="D457" s="1100"/>
      <c r="E457" s="1396"/>
      <c r="F457" s="151">
        <f t="shared" si="33"/>
        <v>0</v>
      </c>
      <c r="G457" s="648"/>
      <c r="H457" s="1401"/>
    </row>
    <row r="458" spans="1:137" ht="24.75" customHeight="1" thickBot="1">
      <c r="A458" s="278" t="s">
        <v>2340</v>
      </c>
      <c r="B458" s="423" t="s">
        <v>1985</v>
      </c>
      <c r="C458" s="369">
        <f t="shared" si="32"/>
        <v>0</v>
      </c>
      <c r="D458" s="1108"/>
      <c r="E458" s="1376"/>
      <c r="F458" s="369">
        <f t="shared" si="33"/>
        <v>0</v>
      </c>
      <c r="G458" s="651"/>
      <c r="H458" s="1413"/>
    </row>
    <row r="459" spans="1:137" ht="18.75" thickBot="1">
      <c r="A459" s="1282" t="s">
        <v>146</v>
      </c>
      <c r="B459" s="1283" t="s">
        <v>147</v>
      </c>
      <c r="C459" s="1208">
        <f t="shared" si="32"/>
        <v>56697700.130000003</v>
      </c>
      <c r="D459" s="1274">
        <f>SUM(D460:D475)</f>
        <v>53398564.109999999</v>
      </c>
      <c r="E459" s="1274">
        <f>SUM(E460:E475)</f>
        <v>3299136.02</v>
      </c>
      <c r="F459" s="1208">
        <f t="shared" si="33"/>
        <v>46271481.150000006</v>
      </c>
      <c r="G459" s="1274">
        <f>SUM(G460:G475)</f>
        <v>43002540.120000005</v>
      </c>
      <c r="H459" s="1274">
        <f>SUM(H460:H475)</f>
        <v>3268941.03</v>
      </c>
    </row>
    <row r="460" spans="1:137" ht="16.5">
      <c r="A460" s="474" t="s">
        <v>97</v>
      </c>
      <c r="B460" s="1107" t="s">
        <v>1988</v>
      </c>
      <c r="C460" s="151">
        <f t="shared" si="32"/>
        <v>893000</v>
      </c>
      <c r="D460" s="1110"/>
      <c r="E460" s="1174">
        <v>893000</v>
      </c>
      <c r="F460" s="151">
        <f t="shared" ref="F460:F475" si="34">G460+H460</f>
        <v>892980</v>
      </c>
      <c r="G460" s="1110"/>
      <c r="H460" s="1174">
        <v>892980</v>
      </c>
    </row>
    <row r="461" spans="1:137" ht="16.5">
      <c r="A461" s="1109"/>
      <c r="B461" s="1101" t="s">
        <v>1143</v>
      </c>
      <c r="C461" s="98">
        <f t="shared" si="32"/>
        <v>0</v>
      </c>
      <c r="D461" s="1110"/>
      <c r="E461" s="1174"/>
      <c r="F461" s="98">
        <f t="shared" si="34"/>
        <v>0</v>
      </c>
      <c r="G461" s="1110"/>
      <c r="H461" s="1174"/>
    </row>
    <row r="462" spans="1:137" ht="16.5">
      <c r="A462" s="18" t="s">
        <v>85</v>
      </c>
      <c r="B462" s="1101" t="s">
        <v>1989</v>
      </c>
      <c r="C462" s="98">
        <f t="shared" si="32"/>
        <v>562000</v>
      </c>
      <c r="D462" s="1100"/>
      <c r="E462" s="1401">
        <v>562000</v>
      </c>
      <c r="F462" s="98">
        <f t="shared" si="34"/>
        <v>532113.38</v>
      </c>
      <c r="G462" s="1100"/>
      <c r="H462" s="1401">
        <v>532113.38</v>
      </c>
    </row>
    <row r="463" spans="1:137" s="7" customFormat="1" ht="16.5">
      <c r="A463" s="1201"/>
      <c r="B463" s="1101" t="s">
        <v>1515</v>
      </c>
      <c r="C463" s="98">
        <f t="shared" ref="C463:C498" si="35">D463+E463</f>
        <v>1418219.6</v>
      </c>
      <c r="D463" s="375">
        <v>628600.57999999996</v>
      </c>
      <c r="E463" s="1409">
        <v>789619.02</v>
      </c>
      <c r="F463" s="98">
        <f t="shared" si="34"/>
        <v>1418070.23</v>
      </c>
      <c r="G463" s="648">
        <v>628600.57999999996</v>
      </c>
      <c r="H463" s="1396">
        <v>789469.65</v>
      </c>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row>
    <row r="464" spans="1:137" s="7" customFormat="1" ht="16.5">
      <c r="A464" s="1201"/>
      <c r="B464" s="1101" t="s">
        <v>907</v>
      </c>
      <c r="C464" s="98">
        <f t="shared" si="35"/>
        <v>698800</v>
      </c>
      <c r="D464" s="375"/>
      <c r="E464" s="1409">
        <v>698800</v>
      </c>
      <c r="F464" s="98">
        <f>G464+H464</f>
        <v>698800</v>
      </c>
      <c r="G464" s="648"/>
      <c r="H464" s="1396">
        <v>698800</v>
      </c>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row>
    <row r="465" spans="1:137" s="7" customFormat="1" ht="16.5">
      <c r="A465" s="1201"/>
      <c r="B465" s="1101" t="s">
        <v>927</v>
      </c>
      <c r="C465" s="98">
        <f t="shared" si="35"/>
        <v>2883</v>
      </c>
      <c r="D465" s="375"/>
      <c r="E465" s="1409">
        <v>2883</v>
      </c>
      <c r="F465" s="98">
        <f>G465+H465</f>
        <v>2881</v>
      </c>
      <c r="G465" s="648"/>
      <c r="H465" s="1396">
        <v>2881</v>
      </c>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row>
    <row r="466" spans="1:137" s="7" customFormat="1" ht="16.5">
      <c r="A466" s="1201"/>
      <c r="B466" s="1101" t="s">
        <v>1990</v>
      </c>
      <c r="C466" s="98">
        <f t="shared" si="35"/>
        <v>160667</v>
      </c>
      <c r="D466" s="375">
        <v>156150</v>
      </c>
      <c r="E466" s="1409">
        <v>4517</v>
      </c>
      <c r="F466" s="98">
        <f>G466+H466</f>
        <v>160530</v>
      </c>
      <c r="G466" s="648">
        <v>156150</v>
      </c>
      <c r="H466" s="1396">
        <v>4380</v>
      </c>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row>
    <row r="467" spans="1:137" s="7" customFormat="1" ht="16.5">
      <c r="A467" s="1201"/>
      <c r="B467" s="1101" t="s">
        <v>411</v>
      </c>
      <c r="C467" s="98">
        <f t="shared" si="35"/>
        <v>0</v>
      </c>
      <c r="D467" s="375"/>
      <c r="E467" s="1409"/>
      <c r="F467" s="98">
        <f>G467+H467</f>
        <v>0</v>
      </c>
      <c r="G467" s="648"/>
      <c r="H467" s="1396"/>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row>
    <row r="468" spans="1:137" ht="60.75">
      <c r="A468" s="1546" t="s">
        <v>2066</v>
      </c>
      <c r="B468" s="1101" t="s">
        <v>413</v>
      </c>
      <c r="C468" s="98">
        <f t="shared" si="35"/>
        <v>22306700</v>
      </c>
      <c r="D468" s="648">
        <v>22306700</v>
      </c>
      <c r="E468" s="1396"/>
      <c r="F468" s="98">
        <f t="shared" si="34"/>
        <v>22306700</v>
      </c>
      <c r="G468" s="648">
        <v>22306700</v>
      </c>
      <c r="H468" s="1396"/>
    </row>
    <row r="469" spans="1:137" ht="90">
      <c r="A469" s="1178" t="s">
        <v>1517</v>
      </c>
      <c r="B469" s="1101" t="s">
        <v>412</v>
      </c>
      <c r="C469" s="98">
        <f t="shared" si="35"/>
        <v>755213.53</v>
      </c>
      <c r="D469" s="648">
        <v>755213.53</v>
      </c>
      <c r="E469" s="1396"/>
      <c r="F469" s="98">
        <f t="shared" si="34"/>
        <v>755213.53</v>
      </c>
      <c r="G469" s="648">
        <v>755213.53</v>
      </c>
      <c r="H469" s="1396"/>
    </row>
    <row r="470" spans="1:137" ht="60.75">
      <c r="A470" s="1546" t="s">
        <v>2065</v>
      </c>
      <c r="B470" s="1179" t="s">
        <v>414</v>
      </c>
      <c r="C470" s="98">
        <f t="shared" si="35"/>
        <v>29551900</v>
      </c>
      <c r="D470" s="648">
        <v>29551900</v>
      </c>
      <c r="E470" s="1396"/>
      <c r="F470" s="98">
        <f t="shared" si="34"/>
        <v>19155876.010000002</v>
      </c>
      <c r="G470" s="648">
        <v>19155876.010000002</v>
      </c>
      <c r="H470" s="1396"/>
    </row>
    <row r="471" spans="1:137" ht="16.5">
      <c r="A471" s="1546"/>
      <c r="B471" s="1179" t="s">
        <v>582</v>
      </c>
      <c r="C471" s="98">
        <f t="shared" si="35"/>
        <v>120000</v>
      </c>
      <c r="D471" s="485"/>
      <c r="E471" s="1414">
        <v>120000</v>
      </c>
      <c r="F471" s="98">
        <f t="shared" si="34"/>
        <v>120000</v>
      </c>
      <c r="G471" s="485"/>
      <c r="H471" s="1414">
        <v>120000</v>
      </c>
    </row>
    <row r="472" spans="1:137" ht="16.5">
      <c r="A472" s="1180"/>
      <c r="B472" s="1179" t="s">
        <v>1991</v>
      </c>
      <c r="C472" s="98">
        <f t="shared" si="35"/>
        <v>0</v>
      </c>
      <c r="D472" s="485"/>
      <c r="E472" s="1414"/>
      <c r="F472" s="98">
        <f t="shared" si="34"/>
        <v>0</v>
      </c>
      <c r="G472" s="485"/>
      <c r="H472" s="1414"/>
    </row>
    <row r="473" spans="1:137" ht="64.5">
      <c r="A473" s="9" t="s">
        <v>1986</v>
      </c>
      <c r="B473" s="1179" t="s">
        <v>2067</v>
      </c>
      <c r="C473" s="98">
        <f t="shared" si="35"/>
        <v>0</v>
      </c>
      <c r="D473" s="485"/>
      <c r="E473" s="1414"/>
      <c r="F473" s="98">
        <f t="shared" si="34"/>
        <v>0</v>
      </c>
      <c r="G473" s="485"/>
      <c r="H473" s="1414"/>
    </row>
    <row r="474" spans="1:137" ht="26.25">
      <c r="A474" s="1187" t="s">
        <v>1987</v>
      </c>
      <c r="B474" s="1179" t="s">
        <v>548</v>
      </c>
      <c r="C474" s="98">
        <f t="shared" si="35"/>
        <v>196917</v>
      </c>
      <c r="D474" s="485"/>
      <c r="E474" s="1414">
        <v>196917</v>
      </c>
      <c r="F474" s="98">
        <f t="shared" si="34"/>
        <v>196917</v>
      </c>
      <c r="G474" s="485"/>
      <c r="H474" s="1414">
        <v>196917</v>
      </c>
    </row>
    <row r="475" spans="1:137" ht="26.25">
      <c r="A475" s="1187" t="s">
        <v>1987</v>
      </c>
      <c r="B475" s="1179" t="s">
        <v>547</v>
      </c>
      <c r="C475" s="98">
        <f t="shared" si="35"/>
        <v>31400</v>
      </c>
      <c r="D475" s="1100"/>
      <c r="E475" s="1401">
        <v>31400</v>
      </c>
      <c r="F475" s="98">
        <f t="shared" si="34"/>
        <v>31400</v>
      </c>
      <c r="G475" s="1100"/>
      <c r="H475" s="1401">
        <v>31400</v>
      </c>
    </row>
    <row r="476" spans="1:137" ht="16.5">
      <c r="A476" s="1577"/>
      <c r="B476" s="1578" t="s">
        <v>549</v>
      </c>
      <c r="C476" s="1579">
        <f t="shared" si="35"/>
        <v>3683211.58</v>
      </c>
      <c r="D476" s="1580">
        <f>D477+D485+D490+D492+D498+D504</f>
        <v>0</v>
      </c>
      <c r="E476" s="1580">
        <f>E477+E485+E490+E492+E498+E504</f>
        <v>3683211.58</v>
      </c>
      <c r="F476" s="1579">
        <f>G476</f>
        <v>0</v>
      </c>
      <c r="G476" s="1580">
        <f>G477+G485+G490+G492+G498+G504</f>
        <v>0</v>
      </c>
      <c r="H476" s="1580">
        <f>H477+H485+H490+H492+H498+H504</f>
        <v>3650738.7199999997</v>
      </c>
    </row>
    <row r="477" spans="1:137" ht="16.5">
      <c r="A477" s="1309" t="s">
        <v>2249</v>
      </c>
      <c r="B477" s="1310" t="s">
        <v>1997</v>
      </c>
      <c r="C477" s="1311">
        <f t="shared" si="35"/>
        <v>619464.05000000005</v>
      </c>
      <c r="D477" s="1312">
        <f>SUM(D480:D484)</f>
        <v>0</v>
      </c>
      <c r="E477" s="1312">
        <f>SUM(E478:E484)</f>
        <v>619464.05000000005</v>
      </c>
      <c r="F477" s="1311">
        <f t="shared" ref="F477:F514" si="36">G477+H477</f>
        <v>593057.57000000007</v>
      </c>
      <c r="G477" s="1312">
        <f>SUM(G480:G484)</f>
        <v>0</v>
      </c>
      <c r="H477" s="1312">
        <f>SUM(H478:H484)</f>
        <v>593057.57000000007</v>
      </c>
    </row>
    <row r="478" spans="1:137" ht="16.5">
      <c r="A478" s="1716"/>
      <c r="B478" s="1101" t="s">
        <v>594</v>
      </c>
      <c r="C478" s="98">
        <f t="shared" si="35"/>
        <v>122000</v>
      </c>
      <c r="D478" s="544"/>
      <c r="E478" s="544">
        <v>122000</v>
      </c>
      <c r="F478" s="151">
        <f t="shared" si="36"/>
        <v>121347.11</v>
      </c>
      <c r="G478" s="544"/>
      <c r="H478" s="544">
        <v>121347.11</v>
      </c>
    </row>
    <row r="479" spans="1:137" ht="16.5">
      <c r="A479" s="1716"/>
      <c r="B479" s="31" t="s">
        <v>595</v>
      </c>
      <c r="C479" s="98">
        <f t="shared" si="35"/>
        <v>134000</v>
      </c>
      <c r="D479" s="544"/>
      <c r="E479" s="544">
        <v>134000</v>
      </c>
      <c r="F479" s="151">
        <f t="shared" si="36"/>
        <v>133135.45000000001</v>
      </c>
      <c r="G479" s="544"/>
      <c r="H479" s="544">
        <v>133135.45000000001</v>
      </c>
    </row>
    <row r="480" spans="1:137" ht="16.5">
      <c r="A480" s="19"/>
      <c r="B480" s="31" t="s">
        <v>1993</v>
      </c>
      <c r="C480" s="98">
        <f t="shared" si="35"/>
        <v>105045.95</v>
      </c>
      <c r="D480" s="96"/>
      <c r="E480" s="1397">
        <v>105045.95</v>
      </c>
      <c r="F480" s="151">
        <f t="shared" si="36"/>
        <v>95045.08</v>
      </c>
      <c r="G480" s="96"/>
      <c r="H480" s="1397">
        <v>95045.08</v>
      </c>
    </row>
    <row r="481" spans="1:8" ht="16.5">
      <c r="A481" s="18"/>
      <c r="B481" s="31" t="s">
        <v>1994</v>
      </c>
      <c r="C481" s="98">
        <f t="shared" si="35"/>
        <v>235068.1</v>
      </c>
      <c r="D481" s="96"/>
      <c r="E481" s="1397">
        <v>235068.1</v>
      </c>
      <c r="F481" s="151">
        <f t="shared" si="36"/>
        <v>220179.93</v>
      </c>
      <c r="G481" s="96"/>
      <c r="H481" s="1397">
        <v>220179.93</v>
      </c>
    </row>
    <row r="482" spans="1:8" ht="16.5">
      <c r="A482" s="278"/>
      <c r="B482" s="31" t="s">
        <v>1995</v>
      </c>
      <c r="C482" s="98">
        <f t="shared" si="35"/>
        <v>1800</v>
      </c>
      <c r="D482" s="99"/>
      <c r="E482" s="1396">
        <v>1800</v>
      </c>
      <c r="F482" s="151">
        <f t="shared" si="36"/>
        <v>1800</v>
      </c>
      <c r="G482" s="99"/>
      <c r="H482" s="1396">
        <v>1800</v>
      </c>
    </row>
    <row r="483" spans="1:8" ht="16.5">
      <c r="A483" s="1178"/>
      <c r="B483" s="31" t="s">
        <v>1996</v>
      </c>
      <c r="C483" s="98">
        <f t="shared" si="35"/>
        <v>21550</v>
      </c>
      <c r="D483" s="99"/>
      <c r="E483" s="1396">
        <v>21550</v>
      </c>
      <c r="F483" s="151">
        <f t="shared" si="36"/>
        <v>21550</v>
      </c>
      <c r="G483" s="99"/>
      <c r="H483" s="1396">
        <v>21550</v>
      </c>
    </row>
    <row r="484" spans="1:8" ht="17.25" thickBot="1">
      <c r="A484" s="19"/>
      <c r="B484" s="32" t="s">
        <v>550</v>
      </c>
      <c r="C484" s="149">
        <f t="shared" si="35"/>
        <v>0</v>
      </c>
      <c r="D484" s="102"/>
      <c r="E484" s="1376"/>
      <c r="F484" s="369">
        <f t="shared" si="36"/>
        <v>0</v>
      </c>
      <c r="G484" s="102"/>
      <c r="H484" s="1376"/>
    </row>
    <row r="485" spans="1:8" ht="78.75">
      <c r="A485" s="1581" t="s">
        <v>2288</v>
      </c>
      <c r="B485" s="1345" t="s">
        <v>2456</v>
      </c>
      <c r="C485" s="1351">
        <f t="shared" si="35"/>
        <v>1062812.44</v>
      </c>
      <c r="D485" s="1450">
        <f>SUM(D486:D489)</f>
        <v>0</v>
      </c>
      <c r="E485" s="1450">
        <f>SUM(E486:E489)</f>
        <v>1062812.44</v>
      </c>
      <c r="F485" s="1351">
        <f t="shared" si="36"/>
        <v>1057699.55</v>
      </c>
      <c r="G485" s="1450">
        <f>SUM(G487:G489)</f>
        <v>0</v>
      </c>
      <c r="H485" s="1450">
        <f>SUM(H486:H489)</f>
        <v>1057699.55</v>
      </c>
    </row>
    <row r="486" spans="1:8" ht="16.5">
      <c r="A486" s="1122"/>
      <c r="B486" s="1179" t="s">
        <v>552</v>
      </c>
      <c r="C486" s="98">
        <f t="shared" si="35"/>
        <v>886812.44</v>
      </c>
      <c r="D486" s="485"/>
      <c r="E486" s="485">
        <v>886812.44</v>
      </c>
      <c r="F486" s="98">
        <f t="shared" si="36"/>
        <v>881725</v>
      </c>
      <c r="G486" s="485"/>
      <c r="H486" s="485">
        <v>881725</v>
      </c>
    </row>
    <row r="487" spans="1:8" ht="16.5">
      <c r="A487" s="9" t="s">
        <v>91</v>
      </c>
      <c r="B487" s="31" t="s">
        <v>596</v>
      </c>
      <c r="C487" s="98">
        <f t="shared" si="35"/>
        <v>27000</v>
      </c>
      <c r="D487" s="487"/>
      <c r="E487" s="1414">
        <v>27000</v>
      </c>
      <c r="F487" s="98">
        <f t="shared" si="36"/>
        <v>26974.55</v>
      </c>
      <c r="G487" s="487"/>
      <c r="H487" s="1414">
        <v>26974.55</v>
      </c>
    </row>
    <row r="488" spans="1:8" ht="39">
      <c r="A488" s="278" t="s">
        <v>2340</v>
      </c>
      <c r="B488" s="31" t="s">
        <v>551</v>
      </c>
      <c r="C488" s="98">
        <f t="shared" si="35"/>
        <v>149000</v>
      </c>
      <c r="D488" s="487"/>
      <c r="E488" s="1414">
        <v>149000</v>
      </c>
      <c r="F488" s="151">
        <f t="shared" si="36"/>
        <v>149000</v>
      </c>
      <c r="G488" s="487"/>
      <c r="H488" s="1414">
        <v>149000</v>
      </c>
    </row>
    <row r="489" spans="1:8" ht="17.25" thickBot="1">
      <c r="A489" s="19" t="s">
        <v>100</v>
      </c>
      <c r="B489" s="32" t="s">
        <v>2455</v>
      </c>
      <c r="C489" s="149">
        <f t="shared" si="35"/>
        <v>0</v>
      </c>
      <c r="D489" s="102"/>
      <c r="E489" s="1376"/>
      <c r="F489" s="369">
        <f t="shared" si="36"/>
        <v>0</v>
      </c>
      <c r="G489" s="102"/>
      <c r="H489" s="1376"/>
    </row>
    <row r="490" spans="1:8" ht="17.25" thickBot="1">
      <c r="A490" s="1315" t="s">
        <v>2289</v>
      </c>
      <c r="B490" s="1313" t="s">
        <v>2457</v>
      </c>
      <c r="C490" s="1302">
        <f t="shared" si="35"/>
        <v>0</v>
      </c>
      <c r="D490" s="1308">
        <f>D491</f>
        <v>0</v>
      </c>
      <c r="E490" s="1308">
        <f>E491</f>
        <v>0</v>
      </c>
      <c r="F490" s="1302">
        <f t="shared" si="36"/>
        <v>0</v>
      </c>
      <c r="G490" s="1308">
        <f>G491</f>
        <v>0</v>
      </c>
      <c r="H490" s="1314">
        <f>G496</f>
        <v>0</v>
      </c>
    </row>
    <row r="491" spans="1:8" ht="27" thickBot="1">
      <c r="A491" s="502" t="s">
        <v>144</v>
      </c>
      <c r="B491" s="36" t="s">
        <v>2458</v>
      </c>
      <c r="C491" s="369">
        <f t="shared" si="35"/>
        <v>0</v>
      </c>
      <c r="D491" s="121"/>
      <c r="E491" s="1398"/>
      <c r="F491" s="369">
        <f t="shared" si="36"/>
        <v>0</v>
      </c>
      <c r="G491" s="121"/>
      <c r="H491" s="1398"/>
    </row>
    <row r="492" spans="1:8" ht="31.5">
      <c r="A492" s="1449" t="s">
        <v>2290</v>
      </c>
      <c r="B492" s="1345" t="s">
        <v>2459</v>
      </c>
      <c r="C492" s="1351">
        <f t="shared" si="35"/>
        <v>583005</v>
      </c>
      <c r="D492" s="1450">
        <f>SUM(D495:D497)</f>
        <v>0</v>
      </c>
      <c r="E492" s="1450">
        <f>SUM(E493:E497)</f>
        <v>583005</v>
      </c>
      <c r="F492" s="1351">
        <f t="shared" si="36"/>
        <v>582252.34</v>
      </c>
      <c r="G492" s="1450">
        <f>SUM(G495:G497)</f>
        <v>0</v>
      </c>
      <c r="H492" s="1450">
        <f>SUM(H493:H497)</f>
        <v>582252.34</v>
      </c>
    </row>
    <row r="493" spans="1:8" ht="16.5">
      <c r="A493" s="1448"/>
      <c r="B493" s="31" t="s">
        <v>597</v>
      </c>
      <c r="C493" s="98">
        <f t="shared" si="35"/>
        <v>226000</v>
      </c>
      <c r="D493" s="485"/>
      <c r="E493" s="485">
        <v>226000</v>
      </c>
      <c r="F493" s="98">
        <f t="shared" si="36"/>
        <v>225351.29</v>
      </c>
      <c r="G493" s="485"/>
      <c r="H493" s="485">
        <v>225351.29</v>
      </c>
    </row>
    <row r="494" spans="1:8" ht="16.5">
      <c r="A494" s="1448"/>
      <c r="B494" s="31" t="s">
        <v>598</v>
      </c>
      <c r="C494" s="98">
        <f t="shared" si="35"/>
        <v>318000</v>
      </c>
      <c r="D494" s="485"/>
      <c r="E494" s="485">
        <v>318000</v>
      </c>
      <c r="F494" s="98">
        <f t="shared" si="36"/>
        <v>317911.36</v>
      </c>
      <c r="G494" s="485"/>
      <c r="H494" s="485">
        <v>317911.36</v>
      </c>
    </row>
    <row r="495" spans="1:8" ht="16.5">
      <c r="A495" s="9" t="s">
        <v>91</v>
      </c>
      <c r="B495" s="31" t="s">
        <v>2460</v>
      </c>
      <c r="C495" s="98">
        <f t="shared" si="35"/>
        <v>14620</v>
      </c>
      <c r="D495" s="487"/>
      <c r="E495" s="1414">
        <v>14620</v>
      </c>
      <c r="F495" s="98">
        <f t="shared" si="36"/>
        <v>14616.5</v>
      </c>
      <c r="G495" s="487"/>
      <c r="H495" s="1414">
        <v>14616.5</v>
      </c>
    </row>
    <row r="496" spans="1:8" ht="39">
      <c r="A496" s="278" t="s">
        <v>2340</v>
      </c>
      <c r="B496" s="31" t="s">
        <v>553</v>
      </c>
      <c r="C496" s="98">
        <f t="shared" si="35"/>
        <v>12385</v>
      </c>
      <c r="D496" s="487"/>
      <c r="E496" s="1414">
        <v>12385</v>
      </c>
      <c r="F496" s="151">
        <f t="shared" si="36"/>
        <v>12373.19</v>
      </c>
      <c r="G496" s="487"/>
      <c r="H496" s="1414">
        <v>12373.19</v>
      </c>
    </row>
    <row r="497" spans="1:8" ht="17.25" thickBot="1">
      <c r="A497" s="19" t="s">
        <v>100</v>
      </c>
      <c r="B497" s="32" t="s">
        <v>910</v>
      </c>
      <c r="C497" s="149">
        <f t="shared" si="35"/>
        <v>12000</v>
      </c>
      <c r="D497" s="102"/>
      <c r="E497" s="1376">
        <v>12000</v>
      </c>
      <c r="F497" s="369">
        <f t="shared" si="36"/>
        <v>12000</v>
      </c>
      <c r="G497" s="102"/>
      <c r="H497" s="1376">
        <v>12000</v>
      </c>
    </row>
    <row r="498" spans="1:8" ht="16.5">
      <c r="A498" s="1449" t="s">
        <v>2092</v>
      </c>
      <c r="B498" s="1345" t="s">
        <v>1726</v>
      </c>
      <c r="C498" s="1351">
        <f t="shared" si="35"/>
        <v>1153330.0900000001</v>
      </c>
      <c r="D498" s="1450">
        <f>SUM(D500:D503)</f>
        <v>0</v>
      </c>
      <c r="E498" s="1450">
        <f>SUM(E499:E503)</f>
        <v>1153330.0900000001</v>
      </c>
      <c r="F498" s="1351">
        <f t="shared" si="36"/>
        <v>1153129.26</v>
      </c>
      <c r="G498" s="1450">
        <f>SUM(G500:G503)</f>
        <v>0</v>
      </c>
      <c r="H498" s="1450">
        <f>SUM(H499:H503)</f>
        <v>1153129.26</v>
      </c>
    </row>
    <row r="499" spans="1:8" ht="16.5">
      <c r="A499" s="1448"/>
      <c r="B499" s="36" t="s">
        <v>911</v>
      </c>
      <c r="C499" s="151">
        <f t="shared" ref="C499:C504" si="37">D499+E499</f>
        <v>852000</v>
      </c>
      <c r="D499" s="485"/>
      <c r="E499" s="485">
        <v>852000</v>
      </c>
      <c r="F499" s="151">
        <f t="shared" si="36"/>
        <v>851811.05</v>
      </c>
      <c r="G499" s="485"/>
      <c r="H499" s="485">
        <v>851811.05</v>
      </c>
    </row>
    <row r="500" spans="1:8" ht="16.5">
      <c r="A500" s="1545"/>
      <c r="B500" s="36" t="s">
        <v>555</v>
      </c>
      <c r="C500" s="151">
        <f t="shared" si="37"/>
        <v>60000</v>
      </c>
      <c r="D500" s="1717"/>
      <c r="E500" s="1717">
        <v>60000</v>
      </c>
      <c r="F500" s="151">
        <f t="shared" si="36"/>
        <v>60000</v>
      </c>
      <c r="G500" s="1717"/>
      <c r="H500" s="1717">
        <v>60000</v>
      </c>
    </row>
    <row r="501" spans="1:8" ht="16.5">
      <c r="A501" s="17" t="s">
        <v>91</v>
      </c>
      <c r="B501" s="36" t="s">
        <v>2461</v>
      </c>
      <c r="C501" s="151">
        <f t="shared" si="37"/>
        <v>211330.09</v>
      </c>
      <c r="D501" s="1204"/>
      <c r="E501" s="1415">
        <v>211330.09</v>
      </c>
      <c r="F501" s="151">
        <f t="shared" si="36"/>
        <v>211318.21</v>
      </c>
      <c r="G501" s="1204"/>
      <c r="H501" s="1205">
        <v>211318.21</v>
      </c>
    </row>
    <row r="502" spans="1:8" ht="39">
      <c r="A502" s="278" t="s">
        <v>2340</v>
      </c>
      <c r="B502" s="32" t="s">
        <v>554</v>
      </c>
      <c r="C502" s="149">
        <f t="shared" si="37"/>
        <v>0</v>
      </c>
      <c r="D502" s="102"/>
      <c r="E502" s="1376"/>
      <c r="F502" s="151">
        <f t="shared" si="36"/>
        <v>0</v>
      </c>
      <c r="G502" s="102"/>
      <c r="H502" s="103"/>
    </row>
    <row r="503" spans="1:8" ht="17.25" thickBot="1">
      <c r="A503" s="19" t="s">
        <v>100</v>
      </c>
      <c r="B503" s="32" t="s">
        <v>2462</v>
      </c>
      <c r="C503" s="149">
        <f t="shared" si="37"/>
        <v>30000</v>
      </c>
      <c r="D503" s="102"/>
      <c r="E503" s="1376">
        <v>30000</v>
      </c>
      <c r="F503" s="151">
        <f t="shared" si="36"/>
        <v>30000</v>
      </c>
      <c r="G503" s="102"/>
      <c r="H503" s="103">
        <v>30000</v>
      </c>
    </row>
    <row r="504" spans="1:8" ht="27" thickBot="1">
      <c r="A504" s="1316" t="s">
        <v>522</v>
      </c>
      <c r="B504" s="1313" t="s">
        <v>556</v>
      </c>
      <c r="C504" s="1302">
        <f t="shared" si="37"/>
        <v>264600</v>
      </c>
      <c r="D504" s="1317">
        <f>D505</f>
        <v>0</v>
      </c>
      <c r="E504" s="1317">
        <f>E505+E506</f>
        <v>264600</v>
      </c>
      <c r="F504" s="1302">
        <f t="shared" si="36"/>
        <v>264600</v>
      </c>
      <c r="G504" s="1317">
        <f>G505</f>
        <v>0</v>
      </c>
      <c r="H504" s="1318">
        <f>H505+H506</f>
        <v>264600</v>
      </c>
    </row>
    <row r="505" spans="1:8" ht="16.5">
      <c r="A505" s="473"/>
      <c r="B505" s="386" t="s">
        <v>557</v>
      </c>
      <c r="C505" s="161">
        <f>+D505+E505</f>
        <v>72800</v>
      </c>
      <c r="D505" s="388"/>
      <c r="E505" s="1718">
        <v>72800</v>
      </c>
      <c r="F505" s="161">
        <f t="shared" si="36"/>
        <v>72800</v>
      </c>
      <c r="G505" s="388"/>
      <c r="H505" s="1718">
        <v>72800</v>
      </c>
    </row>
    <row r="506" spans="1:8" ht="17.25" thickBot="1">
      <c r="A506" s="278"/>
      <c r="B506" s="36" t="s">
        <v>599</v>
      </c>
      <c r="C506" s="369">
        <f>+D506+E506</f>
        <v>191800</v>
      </c>
      <c r="D506" s="121"/>
      <c r="E506" s="1398">
        <v>191800</v>
      </c>
      <c r="F506" s="369">
        <f>G506+H506</f>
        <v>191800</v>
      </c>
      <c r="G506" s="121"/>
      <c r="H506" s="1398">
        <v>191800</v>
      </c>
    </row>
    <row r="507" spans="1:8" ht="17.25" thickBot="1">
      <c r="A507" s="1244" t="s">
        <v>148</v>
      </c>
      <c r="B507" s="513" t="s">
        <v>149</v>
      </c>
      <c r="C507" s="1211">
        <f t="shared" ref="C507:C532" si="38">D507+E507</f>
        <v>202814844.90000004</v>
      </c>
      <c r="D507" s="1212">
        <f>SUM(D508:D519)</f>
        <v>202814844.90000004</v>
      </c>
      <c r="E507" s="1212">
        <f>SUM(E508:E519)</f>
        <v>0</v>
      </c>
      <c r="F507" s="1211">
        <f t="shared" si="36"/>
        <v>198665623.98000005</v>
      </c>
      <c r="G507" s="1212">
        <f>SUM(G508:G519)</f>
        <v>198665623.98000005</v>
      </c>
      <c r="H507" s="1212">
        <f>H521+H560+H617+H653</f>
        <v>0</v>
      </c>
    </row>
    <row r="508" spans="1:8" ht="16.5">
      <c r="A508" s="272" t="s">
        <v>77</v>
      </c>
      <c r="B508" s="451" t="s">
        <v>1645</v>
      </c>
      <c r="C508" s="1245">
        <f t="shared" si="38"/>
        <v>125880632.69</v>
      </c>
      <c r="D508" s="1214">
        <f>D522+D548+D557+D561+D582+D602+D607+D614+D634+D654+D676+D678</f>
        <v>125880632.69</v>
      </c>
      <c r="E508" s="1214">
        <f>E522+E548+E557+E561+E582+E602+E607+E614+E634+E654+E676+E678</f>
        <v>0</v>
      </c>
      <c r="F508" s="1245">
        <f t="shared" si="36"/>
        <v>125440570.81999999</v>
      </c>
      <c r="G508" s="1214">
        <f>G522+G548+G557+G561+G582+G602+G607+G614+G634+G654+G676+G678</f>
        <v>125440570.81999999</v>
      </c>
      <c r="H508" s="1214">
        <f>H522+H548+H557+H561+H582+H602+H607+H614+H634+H654+H676+H678</f>
        <v>0</v>
      </c>
    </row>
    <row r="509" spans="1:8" ht="16.5">
      <c r="A509" s="272" t="s">
        <v>79</v>
      </c>
      <c r="B509" s="451" t="s">
        <v>1646</v>
      </c>
      <c r="C509" s="291">
        <f t="shared" si="38"/>
        <v>2864713.18</v>
      </c>
      <c r="D509" s="1214">
        <f>D523+D562+D583+D635+D655</f>
        <v>2864713.18</v>
      </c>
      <c r="E509" s="1214">
        <f>E523+E562+E583+E635+E655</f>
        <v>0</v>
      </c>
      <c r="F509" s="291">
        <f t="shared" si="36"/>
        <v>2571391.4699999997</v>
      </c>
      <c r="G509" s="1214">
        <f>G523+G562+G583+G635+G655</f>
        <v>2571391.4699999997</v>
      </c>
      <c r="H509" s="1214">
        <f>H523+H562+H583+H635+H655</f>
        <v>0</v>
      </c>
    </row>
    <row r="510" spans="1:8" ht="16.5">
      <c r="A510" s="272" t="s">
        <v>81</v>
      </c>
      <c r="B510" s="451" t="s">
        <v>1647</v>
      </c>
      <c r="C510" s="291">
        <f t="shared" si="38"/>
        <v>37219696.049999997</v>
      </c>
      <c r="D510" s="1214">
        <f>D524+D558+D563+D584+D608+D636+D656+D677+D549+D615+D679</f>
        <v>37219696.049999997</v>
      </c>
      <c r="E510" s="1214">
        <f>E524+E558+E563+E584+E608+E636+E656+E677+E549+E615+E679</f>
        <v>0</v>
      </c>
      <c r="F510" s="291">
        <f t="shared" si="36"/>
        <v>37025487.640000001</v>
      </c>
      <c r="G510" s="1214">
        <f>G524+G558+G563+G584+G608+G636+G656+G677+G549+G615+G679</f>
        <v>37025487.640000001</v>
      </c>
      <c r="H510" s="1214">
        <f>H524+H558+H563+H584+H608+H636+H656+H677+H549+H615+H679</f>
        <v>0</v>
      </c>
    </row>
    <row r="511" spans="1:8" ht="16.5">
      <c r="A511" s="272" t="s">
        <v>83</v>
      </c>
      <c r="B511" s="451" t="s">
        <v>1648</v>
      </c>
      <c r="C511" s="291">
        <f t="shared" si="38"/>
        <v>685065.08000000007</v>
      </c>
      <c r="D511" s="1214">
        <f>D525+D526+D564+D565+D585+D586+D637+D638+D657+D658</f>
        <v>685065.08000000007</v>
      </c>
      <c r="E511" s="1214">
        <f>E525+E526+E564+E565+E585+E586+E637+E638+E657+E658</f>
        <v>0</v>
      </c>
      <c r="F511" s="291">
        <f t="shared" si="36"/>
        <v>520181.02</v>
      </c>
      <c r="G511" s="1214">
        <f>G525+G526+G564+G565+G585+G586+G637+G638+G657+G658</f>
        <v>520181.02</v>
      </c>
      <c r="H511" s="1214">
        <f>H525+H526+H564+H565+H585+H586+H637+H638+H657+H658</f>
        <v>0</v>
      </c>
    </row>
    <row r="512" spans="1:8" ht="16.5">
      <c r="A512" s="272" t="s">
        <v>85</v>
      </c>
      <c r="B512" s="451" t="s">
        <v>1649</v>
      </c>
      <c r="C512" s="291">
        <f t="shared" si="38"/>
        <v>2242709.8000000003</v>
      </c>
      <c r="D512" s="1214">
        <f>D527+D566+D587+D618+D639+D659+D660</f>
        <v>2242709.8000000003</v>
      </c>
      <c r="E512" s="1214">
        <f>E527+E566+E587+E618+E639+E659+E660</f>
        <v>0</v>
      </c>
      <c r="F512" s="291">
        <f t="shared" si="36"/>
        <v>1951747.74</v>
      </c>
      <c r="G512" s="1214">
        <f>G527+G566+G587+G618+G639+G659+G660</f>
        <v>1951747.74</v>
      </c>
      <c r="H512" s="1214">
        <f>H527+H566+H587+H618+H639+H659+H660</f>
        <v>0</v>
      </c>
    </row>
    <row r="513" spans="1:8" ht="16.5">
      <c r="A513" s="272" t="s">
        <v>87</v>
      </c>
      <c r="B513" s="451" t="s">
        <v>1650</v>
      </c>
      <c r="C513" s="291">
        <f t="shared" si="38"/>
        <v>12191334.26</v>
      </c>
      <c r="D513" s="1214">
        <f>D528+D546+D554+D567+D588+D603+D609+D640+D661+D673+D680</f>
        <v>12191334.26</v>
      </c>
      <c r="E513" s="1214">
        <f>E528+E546+E554+E567+E588+E603+E609+E640+E661+E673+E680</f>
        <v>0</v>
      </c>
      <c r="F513" s="291">
        <f t="shared" si="36"/>
        <v>12179626.640000001</v>
      </c>
      <c r="G513" s="1214">
        <f>G528+G546+G554+G567+G588+G603+G609+G640+G661+G673+G680</f>
        <v>12179626.640000001</v>
      </c>
      <c r="H513" s="1214">
        <f>H528+H546+H554+H567+H588+H603+H609+H640+H661+H673+H680</f>
        <v>0</v>
      </c>
    </row>
    <row r="514" spans="1:8" ht="16.5">
      <c r="A514" s="272" t="s">
        <v>25</v>
      </c>
      <c r="B514" s="451" t="s">
        <v>1651</v>
      </c>
      <c r="C514" s="291">
        <f t="shared" si="38"/>
        <v>0</v>
      </c>
      <c r="D514" s="1214">
        <f>D529+D568+D589+D641+D662</f>
        <v>0</v>
      </c>
      <c r="E514" s="1214">
        <f>E529+E568+E589+E641+E662</f>
        <v>0</v>
      </c>
      <c r="F514" s="291">
        <f t="shared" si="36"/>
        <v>0</v>
      </c>
      <c r="G514" s="1214">
        <f>G529+G568+G589+G641+G662</f>
        <v>0</v>
      </c>
      <c r="H514" s="1214">
        <f>H529+H568+H589+H641+H662</f>
        <v>0</v>
      </c>
    </row>
    <row r="515" spans="1:8" ht="16.5">
      <c r="A515" s="272" t="s">
        <v>89</v>
      </c>
      <c r="B515" s="451" t="s">
        <v>1652</v>
      </c>
      <c r="C515" s="291">
        <f t="shared" si="38"/>
        <v>5577231.1100000013</v>
      </c>
      <c r="D515" s="1214">
        <f>D530+D532+D544+D552+D569+D570+D590+D591+D626+D642+D643+D663+D664+D531</f>
        <v>5577231.1100000013</v>
      </c>
      <c r="E515" s="1214">
        <f>E530+E532+E544+E552+E569+E570+E590+E591+E626+E642+E643+E663+E664</f>
        <v>0</v>
      </c>
      <c r="F515" s="291">
        <f t="shared" ref="F515:F532" si="39">G515+H515</f>
        <v>5437316.3300000001</v>
      </c>
      <c r="G515" s="1214">
        <f>G530+G532+G544+G552+G569+G570+G590+G591+G626+G642+G643+G663+G664+G531</f>
        <v>5437316.3300000001</v>
      </c>
      <c r="H515" s="1214">
        <f>H530+H532+H544+H552+H569+H570+H590+H591+H626+H642+H643+H663+H664</f>
        <v>0</v>
      </c>
    </row>
    <row r="516" spans="1:8" ht="16.5">
      <c r="A516" s="272" t="s">
        <v>91</v>
      </c>
      <c r="B516" s="451" t="s">
        <v>1653</v>
      </c>
      <c r="C516" s="291">
        <f t="shared" si="38"/>
        <v>4105875.01</v>
      </c>
      <c r="D516" s="1214">
        <f>D533+D534+D543+D571+D572+D592+D593+D611+D627+D644+D645+D665+D666+D674+D619</f>
        <v>4105875.01</v>
      </c>
      <c r="E516" s="1214">
        <f>E533+E534+E543+E571+E572+E592+E593+E611+E627+E644+E645+E665+E666+E674+E619</f>
        <v>0</v>
      </c>
      <c r="F516" s="291">
        <f t="shared" si="39"/>
        <v>3265320.0999999996</v>
      </c>
      <c r="G516" s="1214">
        <f>G533+G534+G543+G571+G572+G592+G593+G611+G627+G644+G645+G665+G666+G674+G619</f>
        <v>3265320.0999999996</v>
      </c>
      <c r="H516" s="1214">
        <f>H533+H534+H543+H571+H572+H592+H593+H611+H627+H644+H645+H665+H666+H674+H619</f>
        <v>0</v>
      </c>
    </row>
    <row r="517" spans="1:8" ht="16.5">
      <c r="A517" s="272" t="s">
        <v>95</v>
      </c>
      <c r="B517" s="451" t="s">
        <v>1654</v>
      </c>
      <c r="C517" s="291">
        <f t="shared" si="38"/>
        <v>1032040.41</v>
      </c>
      <c r="D517" s="1214">
        <f>D535+D536+D537+D573+D574+D575+D576+D594+D595+D596+D620+D646+D647+D648+D667+D668</f>
        <v>1032040.41</v>
      </c>
      <c r="E517" s="1214">
        <f>E535+E536+E537+E573+E574+E575+E576+E594+E595+E596+E620+E646+E647+E648+E667+E668</f>
        <v>0</v>
      </c>
      <c r="F517" s="291">
        <f t="shared" si="39"/>
        <v>874987.23</v>
      </c>
      <c r="G517" s="1214">
        <f>G535+G536+G537+G573+G574+G575+G576+G594+G595+G596+G620+G646+G647+G648+G667+G668</f>
        <v>874987.23</v>
      </c>
      <c r="H517" s="1214">
        <f>H535+H536+H537+H573+H574+H575+H576+H594+H595+H596+H620+H646+H647+H648+H667+H668</f>
        <v>0</v>
      </c>
    </row>
    <row r="518" spans="1:8" ht="16.5">
      <c r="A518" s="272" t="s">
        <v>97</v>
      </c>
      <c r="B518" s="451" t="s">
        <v>1655</v>
      </c>
      <c r="C518" s="291">
        <f t="shared" si="38"/>
        <v>2489709.79</v>
      </c>
      <c r="D518" s="1214">
        <f>D539+D559+D577+D578+D597+D598+D605+D621+D628+D649+D650+D669+D670+D538</f>
        <v>2489709.79</v>
      </c>
      <c r="E518" s="1214">
        <f>E539+E559+E577+E578+E597+E598+E605+E621+E628+E649+E650+E669+E670</f>
        <v>0</v>
      </c>
      <c r="F518" s="291">
        <f t="shared" si="39"/>
        <v>1855793.5799999998</v>
      </c>
      <c r="G518" s="1214">
        <f>G539+G559+G577+G578+G597+G598+G605+G621+G628+G649+G650+G669+G670+G538</f>
        <v>1855793.5799999998</v>
      </c>
      <c r="H518" s="1214">
        <f>H539+H559+H577+H578+H597+H598+H605+H621+H628+H649+H650+H669+H670</f>
        <v>0</v>
      </c>
    </row>
    <row r="519" spans="1:8" ht="17.25" thickBot="1">
      <c r="A519" s="1215" t="s">
        <v>100</v>
      </c>
      <c r="B519" s="1216" t="s">
        <v>1656</v>
      </c>
      <c r="C519" s="1213">
        <f t="shared" si="38"/>
        <v>8525837.5199999996</v>
      </c>
      <c r="D519" s="1217">
        <f>D541+D550+D579+D580+D599+D600+D629+D631+D651+D652+D671+D672+D622+D624+D540</f>
        <v>8525837.5199999996</v>
      </c>
      <c r="E519" s="1217">
        <f>E541+E550+E579+E580+E599+E600+E629+E631+E651+E652+E671+E672+E622+E624</f>
        <v>0</v>
      </c>
      <c r="F519" s="1213">
        <f t="shared" si="39"/>
        <v>7543201.4100000001</v>
      </c>
      <c r="G519" s="1217">
        <f>G541+G550+G579+G580+G599+G600+G629+G631+G651+G652+G671+G672+G622+G624+G540</f>
        <v>7543201.4100000001</v>
      </c>
      <c r="H519" s="1217">
        <f>H541+H550+H579+H580+H599+H600+H629+H631+H651+H652+H671+H672+H622+H624</f>
        <v>0</v>
      </c>
    </row>
    <row r="520" spans="1:8" ht="17.25" thickBot="1">
      <c r="A520" s="1284" t="s">
        <v>161</v>
      </c>
      <c r="B520" s="1285" t="s">
        <v>2437</v>
      </c>
      <c r="C520" s="1208">
        <f t="shared" si="38"/>
        <v>53183906.170000002</v>
      </c>
      <c r="D520" s="1286">
        <f>D521+D542+D545+D547+D551+D553</f>
        <v>53183906.170000002</v>
      </c>
      <c r="E520" s="1286">
        <f>E521+E543+E545+E547</f>
        <v>0</v>
      </c>
      <c r="F520" s="1208">
        <f t="shared" si="39"/>
        <v>51501534.119999997</v>
      </c>
      <c r="G520" s="1286">
        <f>G521+G542+G545+G547+G551+G553</f>
        <v>51501534.119999997</v>
      </c>
      <c r="H520" s="1286">
        <f>H521+H543+H545+H547</f>
        <v>0</v>
      </c>
    </row>
    <row r="521" spans="1:8" ht="17.25" thickBot="1">
      <c r="A521" s="1319" t="s">
        <v>161</v>
      </c>
      <c r="B521" s="1320" t="s">
        <v>270</v>
      </c>
      <c r="C521" s="1321">
        <f t="shared" si="38"/>
        <v>9452691.879999999</v>
      </c>
      <c r="D521" s="1322">
        <f>SUM(D522:D541)</f>
        <v>9452691.879999999</v>
      </c>
      <c r="E521" s="1322">
        <f>SUM(E522:E541)</f>
        <v>0</v>
      </c>
      <c r="F521" s="1321">
        <f t="shared" si="39"/>
        <v>7830815.5300000003</v>
      </c>
      <c r="G521" s="1323">
        <f>SUM(G522:G541)</f>
        <v>7830815.5300000003</v>
      </c>
      <c r="H521" s="1324">
        <f>SUM(H522:H541)</f>
        <v>0</v>
      </c>
    </row>
    <row r="522" spans="1:8" ht="16.5">
      <c r="A522" s="17" t="s">
        <v>77</v>
      </c>
      <c r="B522" s="34" t="s">
        <v>2068</v>
      </c>
      <c r="C522" s="95">
        <f t="shared" si="38"/>
        <v>0</v>
      </c>
      <c r="D522" s="96"/>
      <c r="E522" s="1397"/>
      <c r="F522" s="95">
        <f t="shared" si="39"/>
        <v>0</v>
      </c>
      <c r="G522" s="109"/>
      <c r="H522" s="1403"/>
    </row>
    <row r="523" spans="1:8" ht="16.5">
      <c r="A523" s="18" t="s">
        <v>79</v>
      </c>
      <c r="B523" s="34" t="s">
        <v>2069</v>
      </c>
      <c r="C523" s="98">
        <f t="shared" si="38"/>
        <v>782316.01</v>
      </c>
      <c r="D523" s="99">
        <v>782316.01</v>
      </c>
      <c r="E523" s="1396"/>
      <c r="F523" s="98">
        <f t="shared" si="39"/>
        <v>732756.2</v>
      </c>
      <c r="G523" s="111">
        <v>732756.2</v>
      </c>
      <c r="H523" s="1404"/>
    </row>
    <row r="524" spans="1:8" ht="16.5">
      <c r="A524" s="18" t="s">
        <v>81</v>
      </c>
      <c r="B524" s="34" t="s">
        <v>2070</v>
      </c>
      <c r="C524" s="98">
        <f t="shared" si="38"/>
        <v>0</v>
      </c>
      <c r="D524" s="99"/>
      <c r="E524" s="1396"/>
      <c r="F524" s="98">
        <f t="shared" si="39"/>
        <v>0</v>
      </c>
      <c r="G524" s="111"/>
      <c r="H524" s="1404"/>
    </row>
    <row r="525" spans="1:8" ht="16.5">
      <c r="A525" s="18" t="s">
        <v>83</v>
      </c>
      <c r="B525" s="34" t="s">
        <v>2071</v>
      </c>
      <c r="C525" s="98">
        <f t="shared" si="38"/>
        <v>112343.33</v>
      </c>
      <c r="D525" s="99">
        <v>112343.33</v>
      </c>
      <c r="E525" s="1396"/>
      <c r="F525" s="98">
        <f t="shared" si="39"/>
        <v>75221.929999999993</v>
      </c>
      <c r="G525" s="111">
        <v>75221.929999999993</v>
      </c>
      <c r="H525" s="1404"/>
    </row>
    <row r="526" spans="1:8" ht="16.5">
      <c r="A526" s="18" t="s">
        <v>83</v>
      </c>
      <c r="B526" s="34" t="s">
        <v>2072</v>
      </c>
      <c r="C526" s="98">
        <f t="shared" si="38"/>
        <v>0</v>
      </c>
      <c r="D526" s="99"/>
      <c r="E526" s="1396"/>
      <c r="F526" s="98">
        <f t="shared" si="39"/>
        <v>0</v>
      </c>
      <c r="G526" s="111"/>
      <c r="H526" s="1404"/>
    </row>
    <row r="527" spans="1:8" ht="16.5">
      <c r="A527" s="18" t="s">
        <v>85</v>
      </c>
      <c r="B527" s="34" t="s">
        <v>2073</v>
      </c>
      <c r="C527" s="98">
        <f t="shared" si="38"/>
        <v>413300</v>
      </c>
      <c r="D527" s="99">
        <v>413300</v>
      </c>
      <c r="E527" s="1396"/>
      <c r="F527" s="98">
        <f t="shared" si="39"/>
        <v>320137</v>
      </c>
      <c r="G527" s="111">
        <v>320137</v>
      </c>
      <c r="H527" s="1404"/>
    </row>
    <row r="528" spans="1:8" ht="16.5">
      <c r="A528" s="18" t="s">
        <v>87</v>
      </c>
      <c r="B528" s="34" t="s">
        <v>1429</v>
      </c>
      <c r="C528" s="98">
        <f t="shared" si="38"/>
        <v>33030.699999999997</v>
      </c>
      <c r="D528" s="99">
        <v>33030.699999999997</v>
      </c>
      <c r="E528" s="1396"/>
      <c r="F528" s="98">
        <f t="shared" si="39"/>
        <v>22562.36</v>
      </c>
      <c r="G528" s="111">
        <v>22562.36</v>
      </c>
      <c r="H528" s="1404"/>
    </row>
    <row r="529" spans="1:8" ht="16.5">
      <c r="A529" s="18" t="s">
        <v>25</v>
      </c>
      <c r="B529" s="34" t="s">
        <v>1430</v>
      </c>
      <c r="C529" s="98">
        <f t="shared" si="38"/>
        <v>0</v>
      </c>
      <c r="D529" s="99"/>
      <c r="E529" s="1396"/>
      <c r="F529" s="98">
        <f t="shared" si="39"/>
        <v>0</v>
      </c>
      <c r="G529" s="111"/>
      <c r="H529" s="1404"/>
    </row>
    <row r="530" spans="1:8" ht="16.5">
      <c r="A530" s="18" t="s">
        <v>89</v>
      </c>
      <c r="B530" s="34" t="s">
        <v>1432</v>
      </c>
      <c r="C530" s="98">
        <f t="shared" si="38"/>
        <v>10000</v>
      </c>
      <c r="D530" s="99">
        <v>10000</v>
      </c>
      <c r="E530" s="1396"/>
      <c r="F530" s="98">
        <f t="shared" si="39"/>
        <v>2498.87</v>
      </c>
      <c r="G530" s="111">
        <v>2498.87</v>
      </c>
      <c r="H530" s="1404"/>
    </row>
    <row r="531" spans="1:8" ht="16.5">
      <c r="A531" s="18"/>
      <c r="B531" s="34" t="s">
        <v>569</v>
      </c>
      <c r="C531" s="98">
        <f t="shared" si="38"/>
        <v>770763.06</v>
      </c>
      <c r="D531" s="99">
        <v>770763.06</v>
      </c>
      <c r="E531" s="1396"/>
      <c r="F531" s="98">
        <f>G531+H531</f>
        <v>770763.06</v>
      </c>
      <c r="G531" s="111">
        <v>770763.06</v>
      </c>
      <c r="H531" s="1404"/>
    </row>
    <row r="532" spans="1:8" ht="16.5">
      <c r="A532" s="18" t="s">
        <v>89</v>
      </c>
      <c r="B532" s="34" t="s">
        <v>1431</v>
      </c>
      <c r="C532" s="98">
        <f t="shared" si="38"/>
        <v>240710.3</v>
      </c>
      <c r="D532" s="99">
        <v>240710.3</v>
      </c>
      <c r="E532" s="1396"/>
      <c r="F532" s="98">
        <f t="shared" si="39"/>
        <v>204873.28</v>
      </c>
      <c r="G532" s="111">
        <v>204873.28</v>
      </c>
      <c r="H532" s="1404"/>
    </row>
    <row r="533" spans="1:8" ht="16.5">
      <c r="A533" s="18"/>
      <c r="B533" s="34" t="s">
        <v>339</v>
      </c>
      <c r="C533" s="98">
        <f>D533</f>
        <v>217784.44</v>
      </c>
      <c r="D533" s="99">
        <v>217784.44</v>
      </c>
      <c r="E533" s="1396"/>
      <c r="F533" s="98">
        <f>G533</f>
        <v>203315.37</v>
      </c>
      <c r="G533" s="111">
        <v>203315.37</v>
      </c>
      <c r="H533" s="1404"/>
    </row>
    <row r="534" spans="1:8" ht="16.5">
      <c r="A534" s="18" t="s">
        <v>91</v>
      </c>
      <c r="B534" s="34" t="s">
        <v>1433</v>
      </c>
      <c r="C534" s="98">
        <f t="shared" ref="C534:C543" si="40">D534+E534</f>
        <v>1363933.74</v>
      </c>
      <c r="D534" s="99">
        <v>1363933.74</v>
      </c>
      <c r="E534" s="1396"/>
      <c r="F534" s="98">
        <f t="shared" ref="F534:F543" si="41">G534+H534</f>
        <v>911525.19</v>
      </c>
      <c r="G534" s="111">
        <v>911525.19</v>
      </c>
      <c r="H534" s="1404"/>
    </row>
    <row r="535" spans="1:8" ht="90">
      <c r="A535" s="1178" t="s">
        <v>1517</v>
      </c>
      <c r="B535" s="34" t="s">
        <v>340</v>
      </c>
      <c r="C535" s="98">
        <f t="shared" si="40"/>
        <v>62753</v>
      </c>
      <c r="D535" s="99">
        <v>62753</v>
      </c>
      <c r="E535" s="1396"/>
      <c r="F535" s="98">
        <f t="shared" si="41"/>
        <v>20000</v>
      </c>
      <c r="G535" s="111">
        <v>20000</v>
      </c>
      <c r="H535" s="1404"/>
    </row>
    <row r="536" spans="1:8" ht="26.25">
      <c r="A536" s="18" t="s">
        <v>1438</v>
      </c>
      <c r="B536" s="34" t="s">
        <v>1435</v>
      </c>
      <c r="C536" s="98">
        <f t="shared" si="40"/>
        <v>97447</v>
      </c>
      <c r="D536" s="99">
        <v>97447</v>
      </c>
      <c r="E536" s="1396"/>
      <c r="F536" s="98">
        <f t="shared" si="41"/>
        <v>95053</v>
      </c>
      <c r="G536" s="111">
        <v>95053</v>
      </c>
      <c r="H536" s="1404"/>
    </row>
    <row r="537" spans="1:8" ht="16.5">
      <c r="A537" s="18" t="s">
        <v>1439</v>
      </c>
      <c r="B537" s="34" t="s">
        <v>1434</v>
      </c>
      <c r="C537" s="98">
        <f t="shared" si="40"/>
        <v>13300</v>
      </c>
      <c r="D537" s="99">
        <v>13300</v>
      </c>
      <c r="E537" s="1396"/>
      <c r="F537" s="98">
        <f t="shared" si="41"/>
        <v>3180.86</v>
      </c>
      <c r="G537" s="111">
        <v>3180.86</v>
      </c>
      <c r="H537" s="1404"/>
    </row>
    <row r="538" spans="1:8" ht="16.5">
      <c r="A538" s="18"/>
      <c r="B538" s="34" t="s">
        <v>570</v>
      </c>
      <c r="C538" s="98">
        <f t="shared" si="40"/>
        <v>388544.95</v>
      </c>
      <c r="D538" s="99">
        <v>388544.95</v>
      </c>
      <c r="E538" s="1396"/>
      <c r="F538" s="98">
        <f t="shared" si="41"/>
        <v>276486.95</v>
      </c>
      <c r="G538" s="111">
        <v>276486.95</v>
      </c>
      <c r="H538" s="1404"/>
    </row>
    <row r="539" spans="1:8" ht="16.5">
      <c r="A539" s="18" t="s">
        <v>97</v>
      </c>
      <c r="B539" s="34" t="s">
        <v>1436</v>
      </c>
      <c r="C539" s="98">
        <f t="shared" si="40"/>
        <v>241950</v>
      </c>
      <c r="D539" s="99">
        <v>241950</v>
      </c>
      <c r="E539" s="1396"/>
      <c r="F539" s="98">
        <f t="shared" si="41"/>
        <v>128820.17</v>
      </c>
      <c r="G539" s="111">
        <v>128820.17</v>
      </c>
      <c r="H539" s="1404"/>
    </row>
    <row r="540" spans="1:8" ht="16.5">
      <c r="A540" s="19"/>
      <c r="B540" s="36" t="s">
        <v>571</v>
      </c>
      <c r="C540" s="98">
        <f t="shared" si="40"/>
        <v>36155.75</v>
      </c>
      <c r="D540" s="102">
        <v>36155.75</v>
      </c>
      <c r="E540" s="1376"/>
      <c r="F540" s="98">
        <f>G540+H540</f>
        <v>3000</v>
      </c>
      <c r="G540" s="115">
        <v>3000</v>
      </c>
      <c r="H540" s="1405"/>
    </row>
    <row r="541" spans="1:8" ht="17.25" thickBot="1">
      <c r="A541" s="19" t="s">
        <v>100</v>
      </c>
      <c r="B541" s="36" t="s">
        <v>1437</v>
      </c>
      <c r="C541" s="113">
        <f t="shared" si="40"/>
        <v>4668359.5999999996</v>
      </c>
      <c r="D541" s="102">
        <v>4668359.5999999996</v>
      </c>
      <c r="E541" s="1376"/>
      <c r="F541" s="113">
        <f t="shared" si="41"/>
        <v>4060621.29</v>
      </c>
      <c r="G541" s="115">
        <v>4060621.29</v>
      </c>
      <c r="H541" s="1405"/>
    </row>
    <row r="542" spans="1:8" ht="52.5" thickBot="1">
      <c r="A542" s="1686" t="s">
        <v>220</v>
      </c>
      <c r="B542" s="1541" t="s">
        <v>572</v>
      </c>
      <c r="C542" s="1542">
        <f t="shared" si="40"/>
        <v>42500</v>
      </c>
      <c r="D542" s="1549">
        <f>D543+D544</f>
        <v>42500</v>
      </c>
      <c r="E542" s="1549"/>
      <c r="F542" s="1542">
        <f>G542+H542</f>
        <v>0</v>
      </c>
      <c r="G542" s="1588">
        <f>G543+G544</f>
        <v>0</v>
      </c>
      <c r="H542" s="1687"/>
    </row>
    <row r="543" spans="1:8" ht="16.5">
      <c r="A543" s="1693"/>
      <c r="B543" s="1585" t="s">
        <v>419</v>
      </c>
      <c r="C543" s="1575">
        <f t="shared" si="40"/>
        <v>42500</v>
      </c>
      <c r="D543" s="1586">
        <v>42500</v>
      </c>
      <c r="E543" s="1586"/>
      <c r="F543" s="1575">
        <f t="shared" si="41"/>
        <v>0</v>
      </c>
      <c r="G543" s="1587"/>
      <c r="H543" s="1586"/>
    </row>
    <row r="544" spans="1:8" ht="16.5">
      <c r="A544" s="1684"/>
      <c r="B544" s="1690" t="s">
        <v>573</v>
      </c>
      <c r="C544" s="1691">
        <f>D544</f>
        <v>0</v>
      </c>
      <c r="D544" s="1535"/>
      <c r="E544" s="1535"/>
      <c r="F544" s="1691">
        <f>G544</f>
        <v>0</v>
      </c>
      <c r="G544" s="1692"/>
      <c r="H544" s="1535"/>
    </row>
    <row r="545" spans="1:8" ht="39.75" thickBot="1">
      <c r="A545" s="1688" t="s">
        <v>1068</v>
      </c>
      <c r="B545" s="1685" t="s">
        <v>420</v>
      </c>
      <c r="C545" s="1609">
        <f>D545</f>
        <v>1751234.29</v>
      </c>
      <c r="D545" s="1608">
        <f>SUM(D546:D546)</f>
        <v>1751234.29</v>
      </c>
      <c r="E545" s="1608"/>
      <c r="F545" s="1609">
        <f>G545</f>
        <v>1751234.29</v>
      </c>
      <c r="G545" s="1610">
        <f>SUM(G546:G546)</f>
        <v>1751234.29</v>
      </c>
      <c r="H545" s="1689"/>
    </row>
    <row r="546" spans="1:8" ht="17.25" thickBot="1">
      <c r="A546" s="1604" t="s">
        <v>87</v>
      </c>
      <c r="B546" s="1605" t="s">
        <v>421</v>
      </c>
      <c r="C546" s="1601">
        <f>D546+E546</f>
        <v>1751234.29</v>
      </c>
      <c r="D546" s="1602">
        <v>1751234.29</v>
      </c>
      <c r="E546" s="1602"/>
      <c r="F546" s="1601">
        <f>G546+H546</f>
        <v>1751234.29</v>
      </c>
      <c r="G546" s="1603">
        <v>1751234.29</v>
      </c>
      <c r="H546" s="1611"/>
    </row>
    <row r="547" spans="1:8" ht="78" thickBot="1">
      <c r="A547" s="1113" t="s">
        <v>1073</v>
      </c>
      <c r="B547" s="747" t="s">
        <v>415</v>
      </c>
      <c r="C547" s="746">
        <f>D547+E547</f>
        <v>37519100</v>
      </c>
      <c r="D547" s="750">
        <f>SUM(D548:D550)</f>
        <v>37519100</v>
      </c>
      <c r="E547" s="750"/>
      <c r="F547" s="746">
        <f>G547+H547</f>
        <v>37501104.299999997</v>
      </c>
      <c r="G547" s="1114">
        <f>SUM(G548:G550)</f>
        <v>37501104.299999997</v>
      </c>
      <c r="H547" s="752"/>
    </row>
    <row r="548" spans="1:8" ht="16.5">
      <c r="A548" s="17" t="s">
        <v>77</v>
      </c>
      <c r="B548" s="1107" t="s">
        <v>416</v>
      </c>
      <c r="C548" s="151">
        <f>D548+E548</f>
        <v>28103730</v>
      </c>
      <c r="D548" s="130">
        <v>28103730</v>
      </c>
      <c r="E548" s="1398"/>
      <c r="F548" s="151">
        <f>G548+H548</f>
        <v>28087965.699999999</v>
      </c>
      <c r="G548" s="166">
        <v>28087965.699999999</v>
      </c>
      <c r="H548" s="114"/>
    </row>
    <row r="549" spans="1:8" ht="16.5">
      <c r="A549" s="18" t="s">
        <v>81</v>
      </c>
      <c r="B549" s="1101" t="s">
        <v>417</v>
      </c>
      <c r="C549" s="149">
        <f>D549+E549</f>
        <v>9268470</v>
      </c>
      <c r="D549" s="102">
        <v>9268470</v>
      </c>
      <c r="E549" s="1376"/>
      <c r="F549" s="149">
        <f>G549+H549</f>
        <v>9266238.5999999996</v>
      </c>
      <c r="G549" s="115">
        <v>9266238.5999999996</v>
      </c>
      <c r="H549" s="103"/>
    </row>
    <row r="550" spans="1:8" ht="17.25" thickBot="1">
      <c r="A550" s="19" t="s">
        <v>100</v>
      </c>
      <c r="B550" s="1106" t="s">
        <v>418</v>
      </c>
      <c r="C550" s="149">
        <f>D550+E550</f>
        <v>146900</v>
      </c>
      <c r="D550" s="102">
        <v>146900</v>
      </c>
      <c r="E550" s="1376"/>
      <c r="F550" s="149">
        <f>G550+H550</f>
        <v>146900</v>
      </c>
      <c r="G550" s="115">
        <v>146900</v>
      </c>
      <c r="H550" s="103"/>
    </row>
    <row r="551" spans="1:8" ht="90.75" thickBot="1">
      <c r="A551" s="740" t="s">
        <v>424</v>
      </c>
      <c r="B551" s="1541" t="s">
        <v>423</v>
      </c>
      <c r="C551" s="150">
        <f>D551</f>
        <v>4141990</v>
      </c>
      <c r="D551" s="117">
        <f>D552</f>
        <v>4141990</v>
      </c>
      <c r="E551" s="553"/>
      <c r="F551" s="150">
        <f>G551</f>
        <v>4141990</v>
      </c>
      <c r="G551" s="119">
        <f>G552</f>
        <v>4141990</v>
      </c>
      <c r="H551" s="148"/>
    </row>
    <row r="552" spans="1:8" ht="17.25" thickBot="1">
      <c r="A552" s="278"/>
      <c r="B552" s="1296" t="s">
        <v>422</v>
      </c>
      <c r="C552" s="369">
        <f>D552</f>
        <v>4141990</v>
      </c>
      <c r="D552" s="121">
        <v>4141990</v>
      </c>
      <c r="E552" s="1398"/>
      <c r="F552" s="369">
        <f>G552</f>
        <v>4141990</v>
      </c>
      <c r="G552" s="122">
        <v>4141990</v>
      </c>
      <c r="H552" s="114"/>
    </row>
    <row r="553" spans="1:8" ht="52.5" thickBot="1">
      <c r="A553" s="1630" t="s">
        <v>369</v>
      </c>
      <c r="B553" s="1631" t="s">
        <v>426</v>
      </c>
      <c r="C553" s="1632">
        <f>D553</f>
        <v>276390</v>
      </c>
      <c r="D553" s="1633">
        <f>D554</f>
        <v>276390</v>
      </c>
      <c r="E553" s="1633"/>
      <c r="F553" s="1632">
        <f>G553</f>
        <v>276390</v>
      </c>
      <c r="G553" s="1643">
        <f>G554</f>
        <v>276390</v>
      </c>
      <c r="H553" s="1644"/>
    </row>
    <row r="554" spans="1:8" ht="16.5">
      <c r="A554" s="1648"/>
      <c r="B554" s="1635" t="s">
        <v>425</v>
      </c>
      <c r="C554" s="1636">
        <f>D554</f>
        <v>276390</v>
      </c>
      <c r="D554" s="1637">
        <v>276390</v>
      </c>
      <c r="E554" s="1637"/>
      <c r="F554" s="1636">
        <f>G554</f>
        <v>276390</v>
      </c>
      <c r="G554" s="1638">
        <v>276390</v>
      </c>
      <c r="H554" s="1637"/>
    </row>
    <row r="555" spans="1:8" ht="18">
      <c r="A555" s="1438" t="s">
        <v>2436</v>
      </c>
      <c r="B555" s="1439" t="s">
        <v>2435</v>
      </c>
      <c r="C555" s="1440">
        <f>D555</f>
        <v>132112023.5</v>
      </c>
      <c r="D555" s="1441">
        <f>D560+D581+D601+D604+D610+D556+D606+D613</f>
        <v>132112023.5</v>
      </c>
      <c r="E555" s="1441">
        <f>E560+E581+E601+E604+E610+E556</f>
        <v>0</v>
      </c>
      <c r="F555" s="1440">
        <f>G555</f>
        <v>130046773.76000001</v>
      </c>
      <c r="G555" s="1441">
        <f>G560+G581+G601+G604+G610+G556+G606+G613</f>
        <v>130046773.76000001</v>
      </c>
      <c r="H555" s="1441">
        <f>H560+H581+H601+H604+H610+H556</f>
        <v>0</v>
      </c>
    </row>
    <row r="556" spans="1:8" ht="31.5">
      <c r="A556" s="1325" t="s">
        <v>221</v>
      </c>
      <c r="B556" s="1326" t="s">
        <v>427</v>
      </c>
      <c r="C556" s="1327">
        <f t="shared" ref="C556:C587" si="42">D556+E556</f>
        <v>86105600</v>
      </c>
      <c r="D556" s="1328">
        <f>SUM(D557:D559)</f>
        <v>86105600</v>
      </c>
      <c r="E556" s="1328">
        <f>SUM(E557:E559)</f>
        <v>0</v>
      </c>
      <c r="F556" s="1327">
        <f t="shared" ref="F556:F587" si="43">G556+H556</f>
        <v>86040798.199999988</v>
      </c>
      <c r="G556" s="1329">
        <f>SUM(G557:G559)</f>
        <v>86040798.199999988</v>
      </c>
      <c r="H556" s="1328">
        <f>SUM(H557:H559)</f>
        <v>0</v>
      </c>
    </row>
    <row r="557" spans="1:8" ht="16.5">
      <c r="A557" s="17" t="s">
        <v>77</v>
      </c>
      <c r="B557" s="357" t="s">
        <v>428</v>
      </c>
      <c r="C557" s="113">
        <f t="shared" si="42"/>
        <v>66612200</v>
      </c>
      <c r="D557" s="96">
        <v>66612200</v>
      </c>
      <c r="E557" s="1397"/>
      <c r="F557" s="113">
        <f t="shared" si="43"/>
        <v>66547469.409999996</v>
      </c>
      <c r="G557" s="109">
        <v>66547469.409999996</v>
      </c>
      <c r="H557" s="1403"/>
    </row>
    <row r="558" spans="1:8" ht="16.5">
      <c r="A558" s="18" t="s">
        <v>79</v>
      </c>
      <c r="B558" s="43" t="s">
        <v>429</v>
      </c>
      <c r="C558" s="98">
        <f t="shared" si="42"/>
        <v>19239200</v>
      </c>
      <c r="D558" s="99">
        <v>19239200</v>
      </c>
      <c r="E558" s="1396"/>
      <c r="F558" s="98">
        <f t="shared" si="43"/>
        <v>19239158.789999999</v>
      </c>
      <c r="G558" s="111">
        <v>19239158.789999999</v>
      </c>
      <c r="H558" s="1404"/>
    </row>
    <row r="559" spans="1:8" ht="17.25" thickBot="1">
      <c r="A559" s="18" t="s">
        <v>97</v>
      </c>
      <c r="B559" s="423" t="s">
        <v>430</v>
      </c>
      <c r="C559" s="113">
        <f t="shared" si="42"/>
        <v>254200</v>
      </c>
      <c r="D559" s="102">
        <v>254200</v>
      </c>
      <c r="E559" s="1376"/>
      <c r="F559" s="113">
        <f t="shared" si="43"/>
        <v>254170</v>
      </c>
      <c r="G559" s="115">
        <v>254170</v>
      </c>
      <c r="H559" s="1405"/>
    </row>
    <row r="560" spans="1:8" ht="32.25" thickBot="1">
      <c r="A560" s="1330" t="s">
        <v>2299</v>
      </c>
      <c r="B560" s="1326" t="s">
        <v>2300</v>
      </c>
      <c r="C560" s="1307">
        <f t="shared" si="42"/>
        <v>9758314.2999999989</v>
      </c>
      <c r="D560" s="1301">
        <f>SUM(D561:D580)</f>
        <v>9758314.2999999989</v>
      </c>
      <c r="E560" s="1301">
        <f>SUM(E561:E580)</f>
        <v>0</v>
      </c>
      <c r="F560" s="1307">
        <f t="shared" si="43"/>
        <v>8411901.8300000019</v>
      </c>
      <c r="G560" s="1331">
        <f>SUM(G561:G580)</f>
        <v>8411901.8300000019</v>
      </c>
      <c r="H560" s="1303">
        <f>SUM(H561:H580)</f>
        <v>0</v>
      </c>
    </row>
    <row r="561" spans="1:8" ht="16.5">
      <c r="A561" s="17" t="s">
        <v>77</v>
      </c>
      <c r="B561" s="34" t="s">
        <v>1526</v>
      </c>
      <c r="C561" s="95">
        <f t="shared" si="42"/>
        <v>1160952</v>
      </c>
      <c r="D561" s="96">
        <v>1160952</v>
      </c>
      <c r="E561" s="1397"/>
      <c r="F561" s="95">
        <f t="shared" si="43"/>
        <v>1074450.1399999999</v>
      </c>
      <c r="G561" s="109">
        <v>1074450.1399999999</v>
      </c>
      <c r="H561" s="1403"/>
    </row>
    <row r="562" spans="1:8" ht="16.5">
      <c r="A562" s="18" t="s">
        <v>79</v>
      </c>
      <c r="B562" s="34" t="s">
        <v>1527</v>
      </c>
      <c r="C562" s="98">
        <f t="shared" si="42"/>
        <v>1302226.6299999999</v>
      </c>
      <c r="D562" s="99">
        <v>1302226.6299999999</v>
      </c>
      <c r="E562" s="1397"/>
      <c r="F562" s="98">
        <f t="shared" si="43"/>
        <v>1124976.52</v>
      </c>
      <c r="G562" s="111">
        <v>1124976.52</v>
      </c>
      <c r="H562" s="1404"/>
    </row>
    <row r="563" spans="1:8" ht="16.5">
      <c r="A563" s="18" t="s">
        <v>81</v>
      </c>
      <c r="B563" s="34" t="s">
        <v>1528</v>
      </c>
      <c r="C563" s="98">
        <f t="shared" si="42"/>
        <v>351197.22</v>
      </c>
      <c r="D563" s="99">
        <v>351197.22</v>
      </c>
      <c r="E563" s="1397"/>
      <c r="F563" s="98">
        <f t="shared" si="43"/>
        <v>286680.08</v>
      </c>
      <c r="G563" s="111">
        <v>286680.08</v>
      </c>
      <c r="H563" s="1404"/>
    </row>
    <row r="564" spans="1:8" ht="16.5">
      <c r="A564" s="18" t="s">
        <v>83</v>
      </c>
      <c r="B564" s="34" t="s">
        <v>1529</v>
      </c>
      <c r="C564" s="98">
        <f t="shared" si="42"/>
        <v>106229.75</v>
      </c>
      <c r="D564" s="99">
        <v>106229.75</v>
      </c>
      <c r="E564" s="1397"/>
      <c r="F564" s="98">
        <f t="shared" si="43"/>
        <v>34439.1</v>
      </c>
      <c r="G564" s="111">
        <v>34439.1</v>
      </c>
      <c r="H564" s="1404"/>
    </row>
    <row r="565" spans="1:8" ht="16.5">
      <c r="A565" s="18" t="s">
        <v>83</v>
      </c>
      <c r="B565" s="34" t="s">
        <v>1530</v>
      </c>
      <c r="C565" s="98">
        <f t="shared" si="42"/>
        <v>0</v>
      </c>
      <c r="D565" s="99"/>
      <c r="E565" s="1397"/>
      <c r="F565" s="98">
        <f t="shared" si="43"/>
        <v>0</v>
      </c>
      <c r="G565" s="111"/>
      <c r="H565" s="1404"/>
    </row>
    <row r="566" spans="1:8" ht="16.5">
      <c r="A566" s="18" t="s">
        <v>85</v>
      </c>
      <c r="B566" s="34" t="s">
        <v>1531</v>
      </c>
      <c r="C566" s="98">
        <f t="shared" si="42"/>
        <v>1174464.1000000001</v>
      </c>
      <c r="D566" s="99">
        <v>1174464.1000000001</v>
      </c>
      <c r="E566" s="1397"/>
      <c r="F566" s="98">
        <f t="shared" si="43"/>
        <v>1046569.05</v>
      </c>
      <c r="G566" s="111">
        <v>1046569.05</v>
      </c>
      <c r="H566" s="1404"/>
    </row>
    <row r="567" spans="1:8" ht="16.5">
      <c r="A567" s="18" t="s">
        <v>87</v>
      </c>
      <c r="B567" s="34" t="s">
        <v>1532</v>
      </c>
      <c r="C567" s="98">
        <f t="shared" si="42"/>
        <v>122264</v>
      </c>
      <c r="D567" s="99">
        <v>122264</v>
      </c>
      <c r="E567" s="1397"/>
      <c r="F567" s="98">
        <f t="shared" si="43"/>
        <v>121024.44</v>
      </c>
      <c r="G567" s="111">
        <v>121024.44</v>
      </c>
      <c r="H567" s="1404"/>
    </row>
    <row r="568" spans="1:8" ht="16.5">
      <c r="A568" s="18" t="s">
        <v>25</v>
      </c>
      <c r="B568" s="34" t="s">
        <v>1533</v>
      </c>
      <c r="C568" s="98">
        <f t="shared" si="42"/>
        <v>0</v>
      </c>
      <c r="D568" s="99"/>
      <c r="E568" s="1397"/>
      <c r="F568" s="98">
        <f t="shared" si="43"/>
        <v>0</v>
      </c>
      <c r="G568" s="111"/>
      <c r="H568" s="1404"/>
    </row>
    <row r="569" spans="1:8" ht="16.5">
      <c r="A569" s="18" t="s">
        <v>89</v>
      </c>
      <c r="B569" s="34" t="s">
        <v>1535</v>
      </c>
      <c r="C569" s="98">
        <f t="shared" si="42"/>
        <v>21750</v>
      </c>
      <c r="D569" s="99">
        <v>21750</v>
      </c>
      <c r="E569" s="1397"/>
      <c r="F569" s="98">
        <f t="shared" si="43"/>
        <v>11222</v>
      </c>
      <c r="G569" s="111">
        <v>11222</v>
      </c>
      <c r="H569" s="1404"/>
    </row>
    <row r="570" spans="1:8" ht="16.5">
      <c r="A570" s="18" t="s">
        <v>89</v>
      </c>
      <c r="B570" s="34" t="s">
        <v>1534</v>
      </c>
      <c r="C570" s="98">
        <f t="shared" si="42"/>
        <v>299658.86</v>
      </c>
      <c r="D570" s="99">
        <v>299658.86</v>
      </c>
      <c r="E570" s="1397"/>
      <c r="F570" s="98">
        <f t="shared" si="43"/>
        <v>244613.27</v>
      </c>
      <c r="G570" s="111">
        <v>244613.27</v>
      </c>
      <c r="H570" s="1404"/>
    </row>
    <row r="571" spans="1:8" ht="16.5">
      <c r="A571" s="18" t="s">
        <v>91</v>
      </c>
      <c r="B571" s="34" t="s">
        <v>1536</v>
      </c>
      <c r="C571" s="98">
        <f t="shared" si="42"/>
        <v>283312.09999999998</v>
      </c>
      <c r="D571" s="99">
        <v>283312.09999999998</v>
      </c>
      <c r="E571" s="1397"/>
      <c r="F571" s="98">
        <f t="shared" si="43"/>
        <v>228954.5</v>
      </c>
      <c r="G571" s="111">
        <v>228954.5</v>
      </c>
      <c r="H571" s="1404"/>
    </row>
    <row r="572" spans="1:8" ht="16.5">
      <c r="A572" s="18" t="s">
        <v>91</v>
      </c>
      <c r="B572" s="34" t="s">
        <v>1537</v>
      </c>
      <c r="C572" s="98">
        <f t="shared" si="42"/>
        <v>1081608.8999999999</v>
      </c>
      <c r="D572" s="99">
        <v>1081608.8999999999</v>
      </c>
      <c r="E572" s="1397"/>
      <c r="F572" s="98">
        <f t="shared" si="43"/>
        <v>937601.57</v>
      </c>
      <c r="G572" s="111">
        <v>937601.57</v>
      </c>
      <c r="H572" s="1404"/>
    </row>
    <row r="573" spans="1:8" ht="16.5">
      <c r="A573" s="18" t="s">
        <v>95</v>
      </c>
      <c r="B573" s="34" t="s">
        <v>1538</v>
      </c>
      <c r="C573" s="98">
        <f t="shared" si="42"/>
        <v>106400</v>
      </c>
      <c r="D573" s="99">
        <v>106400</v>
      </c>
      <c r="E573" s="1397"/>
      <c r="F573" s="98">
        <f t="shared" si="43"/>
        <v>57300</v>
      </c>
      <c r="G573" s="111">
        <v>57300</v>
      </c>
      <c r="H573" s="1404"/>
    </row>
    <row r="574" spans="1:8" ht="16.5">
      <c r="A574" s="18" t="s">
        <v>95</v>
      </c>
      <c r="B574" s="34" t="s">
        <v>1543</v>
      </c>
      <c r="C574" s="98">
        <f t="shared" si="42"/>
        <v>0</v>
      </c>
      <c r="D574" s="99"/>
      <c r="E574" s="1397"/>
      <c r="F574" s="98">
        <f t="shared" si="43"/>
        <v>0</v>
      </c>
      <c r="G574" s="111"/>
      <c r="H574" s="1404"/>
    </row>
    <row r="575" spans="1:8" ht="16.5">
      <c r="A575" s="18" t="s">
        <v>95</v>
      </c>
      <c r="B575" s="34" t="s">
        <v>1544</v>
      </c>
      <c r="C575" s="98">
        <f t="shared" si="42"/>
        <v>164828</v>
      </c>
      <c r="D575" s="99">
        <v>164828</v>
      </c>
      <c r="E575" s="1397"/>
      <c r="F575" s="98">
        <f t="shared" si="43"/>
        <v>155836</v>
      </c>
      <c r="G575" s="111">
        <v>155836</v>
      </c>
      <c r="H575" s="1404"/>
    </row>
    <row r="576" spans="1:8" ht="16.5">
      <c r="A576" s="18" t="s">
        <v>95</v>
      </c>
      <c r="B576" s="34" t="s">
        <v>1545</v>
      </c>
      <c r="C576" s="98">
        <f t="shared" si="42"/>
        <v>96238.9</v>
      </c>
      <c r="D576" s="99">
        <v>96238.9</v>
      </c>
      <c r="E576" s="1397"/>
      <c r="F576" s="98">
        <f t="shared" si="43"/>
        <v>84922.17</v>
      </c>
      <c r="G576" s="111">
        <v>84922.17</v>
      </c>
      <c r="H576" s="1404"/>
    </row>
    <row r="577" spans="1:10" ht="16.5">
      <c r="A577" s="18" t="s">
        <v>97</v>
      </c>
      <c r="B577" s="34" t="s">
        <v>1539</v>
      </c>
      <c r="C577" s="98">
        <f t="shared" si="42"/>
        <v>484306</v>
      </c>
      <c r="D577" s="99">
        <v>484306</v>
      </c>
      <c r="E577" s="1397"/>
      <c r="F577" s="98">
        <f t="shared" si="43"/>
        <v>371598</v>
      </c>
      <c r="G577" s="111">
        <v>371598</v>
      </c>
      <c r="H577" s="1404"/>
    </row>
    <row r="578" spans="1:10" ht="16.5">
      <c r="A578" s="18" t="s">
        <v>97</v>
      </c>
      <c r="B578" s="34" t="s">
        <v>1540</v>
      </c>
      <c r="C578" s="98">
        <f t="shared" si="42"/>
        <v>446027.84</v>
      </c>
      <c r="D578" s="99">
        <v>446027.84</v>
      </c>
      <c r="E578" s="1397"/>
      <c r="F578" s="98">
        <f t="shared" si="43"/>
        <v>287187.46000000002</v>
      </c>
      <c r="G578" s="111">
        <v>287187.46000000002</v>
      </c>
      <c r="H578" s="1404"/>
    </row>
    <row r="579" spans="1:10" ht="16.5">
      <c r="A579" s="19" t="s">
        <v>100</v>
      </c>
      <c r="B579" s="31" t="s">
        <v>1541</v>
      </c>
      <c r="C579" s="98">
        <f t="shared" si="42"/>
        <v>51685.08</v>
      </c>
      <c r="D579" s="99">
        <v>51685.08</v>
      </c>
      <c r="E579" s="1396"/>
      <c r="F579" s="98">
        <f t="shared" si="43"/>
        <v>20229.080000000002</v>
      </c>
      <c r="G579" s="111">
        <v>20229.080000000002</v>
      </c>
      <c r="H579" s="1396"/>
    </row>
    <row r="580" spans="1:10" ht="17.25" thickBot="1">
      <c r="A580" s="19" t="s">
        <v>100</v>
      </c>
      <c r="B580" s="36" t="s">
        <v>1542</v>
      </c>
      <c r="C580" s="113">
        <f t="shared" si="42"/>
        <v>2505164.92</v>
      </c>
      <c r="D580" s="121">
        <v>2505164.92</v>
      </c>
      <c r="E580" s="1397"/>
      <c r="F580" s="113">
        <f t="shared" si="43"/>
        <v>2324298.4500000002</v>
      </c>
      <c r="G580" s="122">
        <v>2324298.4500000002</v>
      </c>
      <c r="H580" s="1416"/>
    </row>
    <row r="581" spans="1:10" ht="17.25" thickBot="1">
      <c r="A581" s="1332" t="s">
        <v>1793</v>
      </c>
      <c r="B581" s="1333" t="s">
        <v>1794</v>
      </c>
      <c r="C581" s="1307">
        <f t="shared" si="42"/>
        <v>23941141.200000007</v>
      </c>
      <c r="D581" s="1301">
        <f>SUM(D582:D600)</f>
        <v>23941141.200000007</v>
      </c>
      <c r="E581" s="1301">
        <f>SUM(E582:E600)</f>
        <v>0</v>
      </c>
      <c r="F581" s="1307">
        <f t="shared" si="43"/>
        <v>23419272.31000001</v>
      </c>
      <c r="G581" s="1331">
        <f>SUM(G582:G600)</f>
        <v>23419272.31000001</v>
      </c>
      <c r="H581" s="1334">
        <f>SUM(H582:H600)</f>
        <v>0</v>
      </c>
    </row>
    <row r="582" spans="1:10" ht="16.5">
      <c r="A582" s="17" t="s">
        <v>77</v>
      </c>
      <c r="B582" s="34" t="s">
        <v>1546</v>
      </c>
      <c r="C582" s="151">
        <f t="shared" si="42"/>
        <v>16889048.690000001</v>
      </c>
      <c r="D582" s="96">
        <v>16889048.690000001</v>
      </c>
      <c r="E582" s="1397"/>
      <c r="F582" s="151">
        <f t="shared" si="43"/>
        <v>16707201.49</v>
      </c>
      <c r="G582" s="109">
        <v>16707201.49</v>
      </c>
      <c r="H582" s="1397"/>
      <c r="I582" s="547"/>
      <c r="J582" s="65"/>
    </row>
    <row r="583" spans="1:10" ht="18">
      <c r="A583" s="18" t="s">
        <v>79</v>
      </c>
      <c r="B583" s="34" t="s">
        <v>1547</v>
      </c>
      <c r="C583" s="98">
        <f t="shared" si="42"/>
        <v>442016.71</v>
      </c>
      <c r="D583" s="96">
        <v>442016.71</v>
      </c>
      <c r="E583" s="1396"/>
      <c r="F583" s="98">
        <f t="shared" si="43"/>
        <v>406085.5</v>
      </c>
      <c r="G583" s="111">
        <v>406085.5</v>
      </c>
      <c r="H583" s="1396"/>
      <c r="I583" s="578"/>
      <c r="J583" s="578"/>
    </row>
    <row r="584" spans="1:10" ht="18">
      <c r="A584" s="18" t="s">
        <v>81</v>
      </c>
      <c r="B584" s="34" t="s">
        <v>1548</v>
      </c>
      <c r="C584" s="98">
        <f t="shared" si="42"/>
        <v>4765779.83</v>
      </c>
      <c r="D584" s="96">
        <v>4765779.83</v>
      </c>
      <c r="E584" s="1396"/>
      <c r="F584" s="98">
        <f t="shared" si="43"/>
        <v>4672300.96</v>
      </c>
      <c r="G584" s="111">
        <v>4672300.96</v>
      </c>
      <c r="H584" s="1396"/>
      <c r="I584" s="578"/>
      <c r="J584" s="578"/>
    </row>
    <row r="585" spans="1:10" ht="18">
      <c r="A585" s="18" t="s">
        <v>83</v>
      </c>
      <c r="B585" s="34" t="s">
        <v>1549</v>
      </c>
      <c r="C585" s="98">
        <f t="shared" si="42"/>
        <v>126092</v>
      </c>
      <c r="D585" s="96">
        <v>126092</v>
      </c>
      <c r="E585" s="1396"/>
      <c r="F585" s="98">
        <f t="shared" si="43"/>
        <v>105315.2</v>
      </c>
      <c r="G585" s="111">
        <v>105315.2</v>
      </c>
      <c r="H585" s="1396"/>
      <c r="I585" s="578"/>
      <c r="J585" s="578"/>
    </row>
    <row r="586" spans="1:10" ht="18">
      <c r="A586" s="18" t="s">
        <v>83</v>
      </c>
      <c r="B586" s="34" t="s">
        <v>1550</v>
      </c>
      <c r="C586" s="98">
        <f t="shared" si="42"/>
        <v>1000</v>
      </c>
      <c r="D586" s="96">
        <v>1000</v>
      </c>
      <c r="E586" s="1396"/>
      <c r="F586" s="98">
        <f t="shared" si="43"/>
        <v>1000</v>
      </c>
      <c r="G586" s="111">
        <v>1000</v>
      </c>
      <c r="H586" s="1396"/>
      <c r="I586" s="578"/>
      <c r="J586" s="578"/>
    </row>
    <row r="587" spans="1:10" ht="18">
      <c r="A587" s="18" t="s">
        <v>85</v>
      </c>
      <c r="B587" s="34" t="s">
        <v>1551</v>
      </c>
      <c r="C587" s="98">
        <f t="shared" si="42"/>
        <v>343592</v>
      </c>
      <c r="D587" s="96">
        <v>343592</v>
      </c>
      <c r="E587" s="1396"/>
      <c r="F587" s="98">
        <f t="shared" si="43"/>
        <v>307580.09999999998</v>
      </c>
      <c r="G587" s="111">
        <v>307580.09999999998</v>
      </c>
      <c r="H587" s="1396"/>
      <c r="I587" s="578"/>
      <c r="J587" s="578"/>
    </row>
    <row r="588" spans="1:10" ht="18">
      <c r="A588" s="18" t="s">
        <v>87</v>
      </c>
      <c r="B588" s="34" t="s">
        <v>1552</v>
      </c>
      <c r="C588" s="98">
        <f t="shared" ref="C588:C611" si="44">D588+E588</f>
        <v>6697</v>
      </c>
      <c r="D588" s="96">
        <v>6697</v>
      </c>
      <c r="E588" s="1396"/>
      <c r="F588" s="98">
        <f t="shared" ref="F588:F611" si="45">G588+H588</f>
        <v>6696.6</v>
      </c>
      <c r="G588" s="111">
        <v>6696.6</v>
      </c>
      <c r="H588" s="1396"/>
      <c r="I588" s="578"/>
      <c r="J588" s="578"/>
    </row>
    <row r="589" spans="1:10" ht="18">
      <c r="A589" s="18" t="s">
        <v>25</v>
      </c>
      <c r="B589" s="34" t="s">
        <v>1553</v>
      </c>
      <c r="C589" s="98">
        <f t="shared" si="44"/>
        <v>0</v>
      </c>
      <c r="D589" s="96"/>
      <c r="E589" s="1396"/>
      <c r="F589" s="98">
        <f t="shared" si="45"/>
        <v>0</v>
      </c>
      <c r="G589" s="111"/>
      <c r="H589" s="1396"/>
      <c r="I589" s="578"/>
      <c r="J589" s="578"/>
    </row>
    <row r="590" spans="1:10" ht="18">
      <c r="A590" s="18" t="s">
        <v>89</v>
      </c>
      <c r="B590" s="34" t="s">
        <v>1554</v>
      </c>
      <c r="C590" s="98">
        <f t="shared" si="44"/>
        <v>3000</v>
      </c>
      <c r="D590" s="96">
        <v>3000</v>
      </c>
      <c r="E590" s="1396"/>
      <c r="F590" s="98">
        <f t="shared" si="45"/>
        <v>100</v>
      </c>
      <c r="G590" s="111">
        <v>100</v>
      </c>
      <c r="H590" s="1396"/>
      <c r="I590" s="578"/>
      <c r="J590" s="578"/>
    </row>
    <row r="591" spans="1:10" ht="18">
      <c r="A591" s="18" t="s">
        <v>89</v>
      </c>
      <c r="B591" s="34" t="s">
        <v>1555</v>
      </c>
      <c r="C591" s="98">
        <f t="shared" si="44"/>
        <v>17469.86</v>
      </c>
      <c r="D591" s="96">
        <v>17469.86</v>
      </c>
      <c r="E591" s="1396"/>
      <c r="F591" s="98">
        <f t="shared" si="45"/>
        <v>15509.86</v>
      </c>
      <c r="G591" s="111">
        <v>15509.86</v>
      </c>
      <c r="H591" s="1396"/>
      <c r="I591" s="578"/>
      <c r="J591" s="578"/>
    </row>
    <row r="592" spans="1:10" ht="18">
      <c r="A592" s="18" t="s">
        <v>91</v>
      </c>
      <c r="B592" s="34" t="s">
        <v>1556</v>
      </c>
      <c r="C592" s="98">
        <f t="shared" si="44"/>
        <v>145007.32999999999</v>
      </c>
      <c r="D592" s="96">
        <v>145007.32999999999</v>
      </c>
      <c r="E592" s="1396"/>
      <c r="F592" s="98">
        <f t="shared" si="45"/>
        <v>132207.28</v>
      </c>
      <c r="G592" s="111">
        <v>132207.28</v>
      </c>
      <c r="H592" s="1396"/>
      <c r="I592" s="578"/>
      <c r="J592" s="578"/>
    </row>
    <row r="593" spans="1:254" ht="18">
      <c r="A593" s="18" t="s">
        <v>91</v>
      </c>
      <c r="B593" s="34" t="s">
        <v>1557</v>
      </c>
      <c r="C593" s="98">
        <f t="shared" si="44"/>
        <v>541028.5</v>
      </c>
      <c r="D593" s="96">
        <v>541028.5</v>
      </c>
      <c r="E593" s="1396"/>
      <c r="F593" s="98">
        <f t="shared" si="45"/>
        <v>536968.93000000005</v>
      </c>
      <c r="G593" s="111">
        <v>536968.93000000005</v>
      </c>
      <c r="H593" s="1396"/>
      <c r="I593" s="578"/>
      <c r="J593" s="578"/>
    </row>
    <row r="594" spans="1:254" ht="18">
      <c r="A594" s="18" t="s">
        <v>95</v>
      </c>
      <c r="B594" s="34" t="s">
        <v>1558</v>
      </c>
      <c r="C594" s="98">
        <f t="shared" si="44"/>
        <v>27116.6</v>
      </c>
      <c r="D594" s="96">
        <v>27116.6</v>
      </c>
      <c r="E594" s="1396"/>
      <c r="F594" s="98">
        <f t="shared" si="45"/>
        <v>23000</v>
      </c>
      <c r="G594" s="111">
        <v>23000</v>
      </c>
      <c r="H594" s="1396"/>
      <c r="I594" s="578"/>
      <c r="J594" s="578"/>
    </row>
    <row r="595" spans="1:254" ht="18">
      <c r="A595" s="18" t="s">
        <v>95</v>
      </c>
      <c r="B595" s="34" t="s">
        <v>1559</v>
      </c>
      <c r="C595" s="98">
        <f t="shared" si="44"/>
        <v>57517</v>
      </c>
      <c r="D595" s="96">
        <v>57517</v>
      </c>
      <c r="E595" s="1396"/>
      <c r="F595" s="98">
        <f t="shared" si="45"/>
        <v>57517</v>
      </c>
      <c r="G595" s="111">
        <v>57517</v>
      </c>
      <c r="H595" s="1396"/>
      <c r="I595" s="578"/>
      <c r="J595" s="578"/>
    </row>
    <row r="596" spans="1:254" ht="18">
      <c r="A596" s="18" t="s">
        <v>95</v>
      </c>
      <c r="B596" s="34" t="s">
        <v>1560</v>
      </c>
      <c r="C596" s="98">
        <f t="shared" si="44"/>
        <v>4067.01</v>
      </c>
      <c r="D596" s="96">
        <v>4067.01</v>
      </c>
      <c r="E596" s="1396"/>
      <c r="F596" s="98">
        <f t="shared" si="45"/>
        <v>2096.62</v>
      </c>
      <c r="G596" s="111">
        <v>2096.62</v>
      </c>
      <c r="H596" s="1396"/>
      <c r="I596" s="578"/>
      <c r="J596" s="578"/>
    </row>
    <row r="597" spans="1:254" ht="18">
      <c r="A597" s="18" t="s">
        <v>97</v>
      </c>
      <c r="B597" s="34" t="s">
        <v>1562</v>
      </c>
      <c r="C597" s="98">
        <f t="shared" si="44"/>
        <v>103530</v>
      </c>
      <c r="D597" s="96">
        <v>103530</v>
      </c>
      <c r="E597" s="1396"/>
      <c r="F597" s="98">
        <f t="shared" si="45"/>
        <v>88350</v>
      </c>
      <c r="G597" s="111">
        <v>88350</v>
      </c>
      <c r="H597" s="1396"/>
      <c r="I597" s="578"/>
      <c r="J597" s="578"/>
    </row>
    <row r="598" spans="1:254" ht="18">
      <c r="A598" s="18" t="s">
        <v>97</v>
      </c>
      <c r="B598" s="34" t="s">
        <v>1561</v>
      </c>
      <c r="C598" s="98">
        <f t="shared" si="44"/>
        <v>265814</v>
      </c>
      <c r="D598" s="96">
        <v>265814</v>
      </c>
      <c r="E598" s="1396"/>
      <c r="F598" s="98">
        <f t="shared" si="45"/>
        <v>200494</v>
      </c>
      <c r="G598" s="111">
        <v>200494</v>
      </c>
      <c r="H598" s="1396"/>
      <c r="I598" s="578"/>
      <c r="J598" s="578"/>
    </row>
    <row r="599" spans="1:254" ht="18">
      <c r="A599" s="19" t="s">
        <v>100</v>
      </c>
      <c r="B599" s="31" t="s">
        <v>1563</v>
      </c>
      <c r="C599" s="98">
        <f t="shared" si="44"/>
        <v>45997.67</v>
      </c>
      <c r="D599" s="96">
        <v>45997.67</v>
      </c>
      <c r="E599" s="1376"/>
      <c r="F599" s="98">
        <f t="shared" si="45"/>
        <v>30716.67</v>
      </c>
      <c r="G599" s="115">
        <v>30716.67</v>
      </c>
      <c r="H599" s="1376"/>
      <c r="I599" s="578"/>
      <c r="J599" s="578"/>
    </row>
    <row r="600" spans="1:254" ht="18.75" thickBot="1">
      <c r="A600" s="19" t="s">
        <v>100</v>
      </c>
      <c r="B600" s="36" t="s">
        <v>1564</v>
      </c>
      <c r="C600" s="149">
        <f t="shared" si="44"/>
        <v>156367</v>
      </c>
      <c r="D600" s="96">
        <v>156367</v>
      </c>
      <c r="E600" s="1376"/>
      <c r="F600" s="149">
        <f t="shared" si="45"/>
        <v>126132.1</v>
      </c>
      <c r="G600" s="115">
        <v>126132.1</v>
      </c>
      <c r="H600" s="1491"/>
      <c r="I600" s="578"/>
      <c r="J600" s="578"/>
    </row>
    <row r="601" spans="1:254" ht="52.5" thickBot="1">
      <c r="A601" s="1612" t="s">
        <v>1068</v>
      </c>
      <c r="B601" s="1613" t="s">
        <v>431</v>
      </c>
      <c r="C601" s="1590">
        <f t="shared" si="44"/>
        <v>8604048</v>
      </c>
      <c r="D601" s="1591">
        <f>D602+D603</f>
        <v>8604048</v>
      </c>
      <c r="E601" s="1591">
        <f>E602+E603</f>
        <v>0</v>
      </c>
      <c r="F601" s="1590">
        <f t="shared" si="45"/>
        <v>8590367.25</v>
      </c>
      <c r="G601" s="1591">
        <f>G602+G603</f>
        <v>8590367.25</v>
      </c>
      <c r="H601" s="1614">
        <f>H602+H603</f>
        <v>0</v>
      </c>
      <c r="I601" s="578"/>
      <c r="J601" s="578"/>
    </row>
    <row r="602" spans="1:254" ht="16.5">
      <c r="A602" s="1606" t="s">
        <v>77</v>
      </c>
      <c r="B602" s="1593" t="s">
        <v>432</v>
      </c>
      <c r="C602" s="1594">
        <f t="shared" si="44"/>
        <v>544700</v>
      </c>
      <c r="D602" s="1595">
        <v>544700</v>
      </c>
      <c r="E602" s="1595"/>
      <c r="F602" s="1594">
        <f t="shared" si="45"/>
        <v>531018.25</v>
      </c>
      <c r="G602" s="1596">
        <v>531018.25</v>
      </c>
      <c r="H602" s="1615"/>
      <c r="I602" s="1520"/>
    </row>
    <row r="603" spans="1:254" ht="17.25" thickBot="1">
      <c r="A603" s="1616" t="s">
        <v>81</v>
      </c>
      <c r="B603" s="1600" t="s">
        <v>561</v>
      </c>
      <c r="C603" s="1601">
        <f t="shared" si="44"/>
        <v>8059348</v>
      </c>
      <c r="D603" s="1602">
        <v>8059348</v>
      </c>
      <c r="E603" s="1602"/>
      <c r="F603" s="1601">
        <f t="shared" si="45"/>
        <v>8059349</v>
      </c>
      <c r="G603" s="1603">
        <v>8059349</v>
      </c>
      <c r="H603" s="1617"/>
      <c r="I603" s="7"/>
    </row>
    <row r="604" spans="1:254" ht="111" thickBot="1">
      <c r="A604" s="753" t="s">
        <v>434</v>
      </c>
      <c r="B604" s="749" t="s">
        <v>433</v>
      </c>
      <c r="C604" s="746">
        <f t="shared" si="44"/>
        <v>7800</v>
      </c>
      <c r="D604" s="742">
        <f>SUM(D605:D605)</f>
        <v>7800</v>
      </c>
      <c r="E604" s="742">
        <f>SUM(E605:E605)</f>
        <v>0</v>
      </c>
      <c r="F604" s="746">
        <f t="shared" si="45"/>
        <v>0</v>
      </c>
      <c r="G604" s="741">
        <f>SUM(G605:G605)</f>
        <v>0</v>
      </c>
      <c r="H604" s="748">
        <f>SUM(H605:H605)</f>
        <v>0</v>
      </c>
      <c r="I604" s="1521"/>
      <c r="J604" s="547"/>
    </row>
    <row r="605" spans="1:254" s="732" customFormat="1" ht="17.25" thickBot="1">
      <c r="A605" s="18" t="s">
        <v>97</v>
      </c>
      <c r="B605" s="34" t="s">
        <v>435</v>
      </c>
      <c r="C605" s="151">
        <f t="shared" si="44"/>
        <v>7800</v>
      </c>
      <c r="D605" s="96">
        <v>7800</v>
      </c>
      <c r="E605" s="1397"/>
      <c r="F605" s="151">
        <f t="shared" si="45"/>
        <v>0</v>
      </c>
      <c r="G605" s="109"/>
      <c r="H605" s="1412"/>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c r="DL605" s="7"/>
      <c r="DM605" s="7"/>
      <c r="DN605" s="7"/>
      <c r="DO605" s="7"/>
      <c r="DP605" s="7"/>
      <c r="DQ605" s="7"/>
      <c r="DR605" s="7"/>
      <c r="DS605" s="7"/>
      <c r="DT605" s="7"/>
      <c r="DU605" s="7"/>
      <c r="DV605" s="7"/>
      <c r="DW605" s="7"/>
      <c r="DX605" s="7"/>
      <c r="DY605" s="7"/>
      <c r="DZ605" s="7"/>
      <c r="EA605" s="7"/>
      <c r="EB605" s="7"/>
      <c r="EC605" s="7"/>
      <c r="ED605" s="7"/>
      <c r="EE605" s="7"/>
      <c r="EF605" s="7"/>
      <c r="EG605" s="7"/>
      <c r="EH605" s="7"/>
      <c r="EI605" s="7"/>
      <c r="EJ605" s="7"/>
      <c r="EK605" s="7"/>
      <c r="EL605" s="7"/>
      <c r="EM605" s="7"/>
      <c r="EN605" s="7"/>
      <c r="EO605" s="7"/>
      <c r="EP605" s="7"/>
      <c r="EQ605" s="7"/>
      <c r="ER605" s="7"/>
      <c r="ES605" s="7"/>
      <c r="ET605" s="7"/>
      <c r="EU605" s="7"/>
      <c r="EV605" s="7"/>
      <c r="EW605" s="7"/>
      <c r="EX605" s="7"/>
      <c r="EY605" s="7"/>
      <c r="EZ605" s="7"/>
      <c r="FA605" s="7"/>
      <c r="FB605" s="7"/>
      <c r="FC605" s="7"/>
      <c r="FD605" s="7"/>
      <c r="FE605" s="7"/>
      <c r="FF605" s="7"/>
      <c r="FG605" s="7"/>
      <c r="FH605" s="7"/>
      <c r="FI605" s="7"/>
      <c r="FJ605" s="7"/>
      <c r="FK605" s="7"/>
      <c r="FL605" s="7"/>
      <c r="FM605" s="7"/>
      <c r="FN605" s="7"/>
      <c r="FO605" s="7"/>
      <c r="FP605" s="7"/>
      <c r="FQ605" s="7"/>
      <c r="FR605" s="7"/>
      <c r="FS605" s="7"/>
      <c r="FT605" s="7"/>
      <c r="FU605" s="7"/>
      <c r="FV605" s="7"/>
      <c r="FW605" s="7"/>
      <c r="FX605" s="7"/>
      <c r="FY605" s="7"/>
      <c r="FZ605" s="7"/>
      <c r="GA605" s="7"/>
      <c r="GB605" s="7"/>
      <c r="GC605" s="7"/>
      <c r="GD605" s="7"/>
      <c r="GE605" s="7"/>
      <c r="GF605" s="7"/>
      <c r="GG605" s="7"/>
      <c r="GH605" s="7"/>
      <c r="GI605" s="7"/>
      <c r="GJ605" s="7"/>
      <c r="GK605" s="7"/>
      <c r="GL605" s="7"/>
      <c r="GM605" s="7"/>
      <c r="GN605" s="7"/>
      <c r="GO605" s="7"/>
      <c r="GP605" s="7"/>
      <c r="GQ605" s="7"/>
      <c r="GR605" s="7"/>
      <c r="GS605" s="7"/>
      <c r="GT605" s="7"/>
      <c r="GU605" s="7"/>
      <c r="GV605" s="7"/>
      <c r="GW605" s="7"/>
      <c r="GX605" s="7"/>
      <c r="GY605" s="7"/>
      <c r="GZ605" s="7"/>
      <c r="HA605" s="7"/>
      <c r="HB605" s="7"/>
      <c r="HC605" s="7"/>
      <c r="HD605" s="7"/>
      <c r="HE605" s="7"/>
      <c r="HF605" s="7"/>
      <c r="HG605" s="7"/>
      <c r="HH605" s="7"/>
      <c r="HI605" s="7"/>
      <c r="HJ605" s="7"/>
      <c r="HK605" s="7"/>
      <c r="HL605" s="7"/>
      <c r="HM605" s="7"/>
      <c r="HN605" s="7"/>
      <c r="HO605" s="7"/>
      <c r="HP605" s="7"/>
      <c r="HQ605" s="7"/>
      <c r="HR605" s="7"/>
      <c r="HS605" s="7"/>
      <c r="HT605" s="7"/>
      <c r="HU605" s="7"/>
      <c r="HV605" s="7"/>
      <c r="HW605" s="7"/>
      <c r="HX605" s="7"/>
      <c r="HY605" s="7"/>
      <c r="HZ605" s="7"/>
      <c r="IA605" s="7"/>
      <c r="IB605" s="7"/>
      <c r="IC605" s="7"/>
      <c r="ID605" s="7"/>
      <c r="IE605" s="7"/>
      <c r="IF605" s="7"/>
      <c r="IG605" s="7"/>
      <c r="IH605" s="7"/>
      <c r="II605" s="7"/>
      <c r="IJ605" s="7"/>
      <c r="IK605" s="7"/>
      <c r="IL605" s="7"/>
      <c r="IM605" s="7"/>
      <c r="IN605" s="7"/>
      <c r="IO605" s="7"/>
      <c r="IP605" s="7"/>
      <c r="IQ605" s="7"/>
      <c r="IR605" s="7"/>
      <c r="IS605" s="7"/>
      <c r="IT605" s="7"/>
    </row>
    <row r="606" spans="1:254" ht="79.5" thickBot="1">
      <c r="A606" s="1649" t="s">
        <v>369</v>
      </c>
      <c r="B606" s="1650" t="s">
        <v>438</v>
      </c>
      <c r="C606" s="1632">
        <f t="shared" si="44"/>
        <v>3282720</v>
      </c>
      <c r="D606" s="1651">
        <f>SUM(D607:D609)</f>
        <v>3282720</v>
      </c>
      <c r="E606" s="1651">
        <f>SUM(E607:E608)</f>
        <v>0</v>
      </c>
      <c r="F606" s="1632">
        <f t="shared" si="45"/>
        <v>3282720</v>
      </c>
      <c r="G606" s="1652">
        <f>SUM(G607:G609)</f>
        <v>3282720</v>
      </c>
      <c r="H606" s="1653">
        <f>SUM(H607:H608)</f>
        <v>0</v>
      </c>
    </row>
    <row r="607" spans="1:254" ht="16.5">
      <c r="A607" s="1654" t="s">
        <v>77</v>
      </c>
      <c r="B607" s="1635" t="s">
        <v>439</v>
      </c>
      <c r="C607" s="1636">
        <f t="shared" si="44"/>
        <v>1347400</v>
      </c>
      <c r="D607" s="1637">
        <v>1347400</v>
      </c>
      <c r="E607" s="1637"/>
      <c r="F607" s="1636">
        <f t="shared" si="45"/>
        <v>1347400</v>
      </c>
      <c r="G607" s="1638">
        <v>1347400</v>
      </c>
      <c r="H607" s="1655"/>
    </row>
    <row r="608" spans="1:254" ht="16.5">
      <c r="A608" s="1656" t="s">
        <v>81</v>
      </c>
      <c r="B608" s="1639" t="s">
        <v>440</v>
      </c>
      <c r="C608" s="1640">
        <f t="shared" si="44"/>
        <v>333200</v>
      </c>
      <c r="D608" s="1641">
        <v>333200</v>
      </c>
      <c r="E608" s="1641"/>
      <c r="F608" s="1640">
        <f t="shared" si="45"/>
        <v>333200</v>
      </c>
      <c r="G608" s="1642">
        <v>333200</v>
      </c>
      <c r="H608" s="1641"/>
    </row>
    <row r="609" spans="1:8" ht="17.25" thickBot="1">
      <c r="A609" s="1657" t="s">
        <v>87</v>
      </c>
      <c r="B609" s="1658" t="s">
        <v>441</v>
      </c>
      <c r="C609" s="1646">
        <f t="shared" si="44"/>
        <v>1602120</v>
      </c>
      <c r="D609" s="1645">
        <v>1602120</v>
      </c>
      <c r="E609" s="1645"/>
      <c r="F609" s="1646">
        <f t="shared" si="45"/>
        <v>1602120</v>
      </c>
      <c r="G609" s="1647">
        <v>1602120</v>
      </c>
      <c r="H609" s="1659"/>
    </row>
    <row r="610" spans="1:8" ht="51.75">
      <c r="A610" s="756" t="s">
        <v>220</v>
      </c>
      <c r="B610" s="751" t="s">
        <v>436</v>
      </c>
      <c r="C610" s="743">
        <f t="shared" si="44"/>
        <v>30000</v>
      </c>
      <c r="D610" s="744">
        <f>SUM(D611:D612)</f>
        <v>30000</v>
      </c>
      <c r="E610" s="744">
        <f>E611</f>
        <v>0</v>
      </c>
      <c r="F610" s="743">
        <f t="shared" si="45"/>
        <v>0</v>
      </c>
      <c r="G610" s="745">
        <f>G611</f>
        <v>0</v>
      </c>
      <c r="H610" s="1417">
        <f>H611</f>
        <v>0</v>
      </c>
    </row>
    <row r="611" spans="1:8" ht="16.5">
      <c r="A611" s="9" t="s">
        <v>91</v>
      </c>
      <c r="B611" s="43" t="s">
        <v>437</v>
      </c>
      <c r="C611" s="98">
        <f t="shared" si="44"/>
        <v>30000</v>
      </c>
      <c r="D611" s="99">
        <v>30000</v>
      </c>
      <c r="E611" s="1396"/>
      <c r="F611" s="98">
        <f t="shared" si="45"/>
        <v>0</v>
      </c>
      <c r="G611" s="111"/>
      <c r="H611" s="1396"/>
    </row>
    <row r="612" spans="1:8" ht="17.25" thickBot="1">
      <c r="A612" s="19"/>
      <c r="B612" s="423"/>
      <c r="C612" s="149">
        <f>D612</f>
        <v>0</v>
      </c>
      <c r="D612" s="102"/>
      <c r="E612" s="1376"/>
      <c r="F612" s="149"/>
      <c r="G612" s="115"/>
      <c r="H612" s="1376"/>
    </row>
    <row r="613" spans="1:8" ht="64.5">
      <c r="A613" s="1102" t="s">
        <v>445</v>
      </c>
      <c r="B613" s="751" t="s">
        <v>442</v>
      </c>
      <c r="C613" s="743">
        <f>D613+E613</f>
        <v>382400</v>
      </c>
      <c r="D613" s="744">
        <f>SUM(D614:D615)</f>
        <v>382400</v>
      </c>
      <c r="E613" s="744">
        <f>E615</f>
        <v>0</v>
      </c>
      <c r="F613" s="743">
        <f>G613+H613</f>
        <v>301714.17</v>
      </c>
      <c r="G613" s="745">
        <f>SUM(G614:G615)</f>
        <v>301714.17</v>
      </c>
      <c r="H613" s="1417">
        <f>H615</f>
        <v>0</v>
      </c>
    </row>
    <row r="614" spans="1:8" ht="16.5">
      <c r="A614" s="1178"/>
      <c r="B614" s="384" t="s">
        <v>443</v>
      </c>
      <c r="C614" s="98">
        <f>D614</f>
        <v>285500</v>
      </c>
      <c r="D614" s="648">
        <v>285500</v>
      </c>
      <c r="E614" s="648"/>
      <c r="F614" s="98">
        <f>G614</f>
        <v>232143.83</v>
      </c>
      <c r="G614" s="167">
        <v>232143.83</v>
      </c>
      <c r="H614" s="648"/>
    </row>
    <row r="615" spans="1:8" ht="17.25" thickBot="1">
      <c r="A615" s="474"/>
      <c r="B615" s="736" t="s">
        <v>444</v>
      </c>
      <c r="C615" s="151">
        <f t="shared" ref="C615:C631" si="46">D615+E615</f>
        <v>96900</v>
      </c>
      <c r="D615" s="544">
        <v>96900</v>
      </c>
      <c r="E615" s="544"/>
      <c r="F615" s="151">
        <f t="shared" ref="F615:F631" si="47">G615+H615</f>
        <v>69570.34</v>
      </c>
      <c r="G615" s="737">
        <v>69570.34</v>
      </c>
      <c r="H615" s="544"/>
    </row>
    <row r="616" spans="1:8" ht="32.25" thickBot="1">
      <c r="A616" s="1437" t="s">
        <v>166</v>
      </c>
      <c r="B616" s="1273" t="s">
        <v>234</v>
      </c>
      <c r="C616" s="1208">
        <f t="shared" si="46"/>
        <v>700206.4</v>
      </c>
      <c r="D616" s="1274">
        <f>D617+D623+D625+D630</f>
        <v>700206.4</v>
      </c>
      <c r="E616" s="1274">
        <f>E617+E623+E625</f>
        <v>0</v>
      </c>
      <c r="F616" s="1208">
        <f t="shared" si="47"/>
        <v>664320.09</v>
      </c>
      <c r="G616" s="1274">
        <f>G617+G623+G625+G630</f>
        <v>664320.09</v>
      </c>
      <c r="H616" s="1281">
        <f>H617+H623+H625</f>
        <v>0</v>
      </c>
    </row>
    <row r="617" spans="1:8" ht="31.5">
      <c r="A617" s="1335" t="s">
        <v>780</v>
      </c>
      <c r="B617" s="1336" t="s">
        <v>1576</v>
      </c>
      <c r="C617" s="1337">
        <f t="shared" si="46"/>
        <v>59332.9</v>
      </c>
      <c r="D617" s="1338">
        <f>SUM(D618:D622)</f>
        <v>59332.9</v>
      </c>
      <c r="E617" s="1338">
        <f>E620+E622</f>
        <v>0</v>
      </c>
      <c r="F617" s="1337">
        <f t="shared" si="47"/>
        <v>59332.9</v>
      </c>
      <c r="G617" s="1338">
        <f>SUM(G618:G622)</f>
        <v>59332.9</v>
      </c>
      <c r="H617" s="1338">
        <f>H620+H622</f>
        <v>0</v>
      </c>
    </row>
    <row r="618" spans="1:8" ht="16.5">
      <c r="A618" s="18" t="s">
        <v>89</v>
      </c>
      <c r="B618" s="31" t="s">
        <v>1565</v>
      </c>
      <c r="C618" s="98">
        <f t="shared" si="46"/>
        <v>0</v>
      </c>
      <c r="D618" s="99"/>
      <c r="E618" s="1401"/>
      <c r="F618" s="98">
        <f t="shared" si="47"/>
        <v>0</v>
      </c>
      <c r="G618" s="99"/>
      <c r="H618" s="1401"/>
    </row>
    <row r="619" spans="1:8" ht="16.5">
      <c r="A619" s="18" t="s">
        <v>91</v>
      </c>
      <c r="B619" s="31" t="s">
        <v>1566</v>
      </c>
      <c r="C619" s="98">
        <f t="shared" si="46"/>
        <v>0</v>
      </c>
      <c r="D619" s="99"/>
      <c r="E619" s="1401"/>
      <c r="F619" s="98">
        <f t="shared" si="47"/>
        <v>0</v>
      </c>
      <c r="G619" s="99"/>
      <c r="H619" s="1401"/>
    </row>
    <row r="620" spans="1:8" ht="16.5">
      <c r="A620" s="18" t="s">
        <v>95</v>
      </c>
      <c r="B620" s="31" t="s">
        <v>1567</v>
      </c>
      <c r="C620" s="98">
        <f t="shared" si="46"/>
        <v>40262.9</v>
      </c>
      <c r="D620" s="99">
        <v>40262.9</v>
      </c>
      <c r="E620" s="1396"/>
      <c r="F620" s="98">
        <f t="shared" si="47"/>
        <v>40262.9</v>
      </c>
      <c r="G620" s="111">
        <v>40262.9</v>
      </c>
      <c r="H620" s="1396"/>
    </row>
    <row r="621" spans="1:8" ht="16.5">
      <c r="A621" s="18" t="s">
        <v>97</v>
      </c>
      <c r="B621" s="31" t="s">
        <v>1568</v>
      </c>
      <c r="C621" s="98">
        <f t="shared" si="46"/>
        <v>0</v>
      </c>
      <c r="D621" s="99"/>
      <c r="E621" s="1396"/>
      <c r="F621" s="98">
        <f t="shared" si="47"/>
        <v>0</v>
      </c>
      <c r="G621" s="111"/>
      <c r="H621" s="1396"/>
    </row>
    <row r="622" spans="1:8" ht="17.25" thickBot="1">
      <c r="A622" s="473" t="s">
        <v>100</v>
      </c>
      <c r="B622" s="32" t="s">
        <v>1569</v>
      </c>
      <c r="C622" s="149">
        <f t="shared" si="46"/>
        <v>19070</v>
      </c>
      <c r="D622" s="102">
        <v>19070</v>
      </c>
      <c r="E622" s="1376"/>
      <c r="F622" s="149">
        <f t="shared" si="47"/>
        <v>19070</v>
      </c>
      <c r="G622" s="115">
        <v>19070</v>
      </c>
      <c r="H622" s="1376"/>
    </row>
    <row r="623" spans="1:8" ht="95.25" thickBot="1">
      <c r="A623" s="1315" t="s">
        <v>1074</v>
      </c>
      <c r="B623" s="1313" t="s">
        <v>1575</v>
      </c>
      <c r="C623" s="1302">
        <f t="shared" si="46"/>
        <v>28442</v>
      </c>
      <c r="D623" s="1317">
        <f>D624</f>
        <v>28442</v>
      </c>
      <c r="E623" s="1317">
        <f>E624</f>
        <v>0</v>
      </c>
      <c r="F623" s="1302">
        <f t="shared" si="47"/>
        <v>19000</v>
      </c>
      <c r="G623" s="1317">
        <f>G624</f>
        <v>19000</v>
      </c>
      <c r="H623" s="1318">
        <f>H624</f>
        <v>0</v>
      </c>
    </row>
    <row r="624" spans="1:8" ht="27" thickBot="1">
      <c r="A624" s="502" t="s">
        <v>2093</v>
      </c>
      <c r="B624" s="36" t="s">
        <v>1574</v>
      </c>
      <c r="C624" s="369">
        <f t="shared" si="46"/>
        <v>28442</v>
      </c>
      <c r="D624" s="121">
        <v>28442</v>
      </c>
      <c r="E624" s="1398"/>
      <c r="F624" s="369">
        <f t="shared" si="47"/>
        <v>19000</v>
      </c>
      <c r="G624" s="122">
        <v>19000</v>
      </c>
      <c r="H624" s="1398"/>
    </row>
    <row r="625" spans="1:8" ht="48" thickBot="1">
      <c r="A625" s="1315" t="s">
        <v>781</v>
      </c>
      <c r="B625" s="1313" t="s">
        <v>1570</v>
      </c>
      <c r="C625" s="1302">
        <f t="shared" si="46"/>
        <v>252631.5</v>
      </c>
      <c r="D625" s="1317">
        <f>D629+D626+D627+D628</f>
        <v>252631.5</v>
      </c>
      <c r="E625" s="1317"/>
      <c r="F625" s="1302">
        <f t="shared" si="47"/>
        <v>226187.19</v>
      </c>
      <c r="G625" s="1339">
        <f>SUM(G626:G629)</f>
        <v>226187.19</v>
      </c>
      <c r="H625" s="1318"/>
    </row>
    <row r="626" spans="1:8" ht="16.5">
      <c r="A626" s="17"/>
      <c r="B626" s="34" t="s">
        <v>446</v>
      </c>
      <c r="C626" s="151">
        <f t="shared" si="46"/>
        <v>18000</v>
      </c>
      <c r="D626" s="544">
        <v>18000</v>
      </c>
      <c r="E626" s="1397"/>
      <c r="F626" s="151">
        <f t="shared" si="47"/>
        <v>3760.89</v>
      </c>
      <c r="G626" s="737">
        <v>3760.89</v>
      </c>
      <c r="H626" s="1397"/>
    </row>
    <row r="627" spans="1:8" ht="16.5">
      <c r="A627" s="18" t="s">
        <v>91</v>
      </c>
      <c r="B627" s="31" t="s">
        <v>1571</v>
      </c>
      <c r="C627" s="98">
        <f t="shared" si="46"/>
        <v>3500</v>
      </c>
      <c r="D627" s="648">
        <v>3500</v>
      </c>
      <c r="E627" s="1396"/>
      <c r="F627" s="98">
        <f t="shared" si="47"/>
        <v>0</v>
      </c>
      <c r="G627" s="167"/>
      <c r="H627" s="1396"/>
    </row>
    <row r="628" spans="1:8" ht="16.5">
      <c r="A628" s="18" t="s">
        <v>97</v>
      </c>
      <c r="B628" s="31" t="s">
        <v>1572</v>
      </c>
      <c r="C628" s="98">
        <f t="shared" si="46"/>
        <v>63800</v>
      </c>
      <c r="D628" s="648">
        <v>63800</v>
      </c>
      <c r="E628" s="1396"/>
      <c r="F628" s="98">
        <f t="shared" si="47"/>
        <v>63800</v>
      </c>
      <c r="G628" s="167">
        <v>63800</v>
      </c>
      <c r="H628" s="1396"/>
    </row>
    <row r="629" spans="1:8" ht="27" thickBot="1">
      <c r="A629" s="502" t="s">
        <v>2093</v>
      </c>
      <c r="B629" s="32" t="s">
        <v>1573</v>
      </c>
      <c r="C629" s="369">
        <f t="shared" si="46"/>
        <v>167331.5</v>
      </c>
      <c r="D629" s="121">
        <v>167331.5</v>
      </c>
      <c r="E629" s="1398"/>
      <c r="F629" s="369">
        <f t="shared" si="47"/>
        <v>158626.29999999999</v>
      </c>
      <c r="G629" s="122">
        <v>158626.29999999999</v>
      </c>
      <c r="H629" s="1398"/>
    </row>
    <row r="630" spans="1:8" ht="52.5" thickBot="1">
      <c r="A630" s="1370" t="s">
        <v>1075</v>
      </c>
      <c r="B630" s="1369" t="s">
        <v>448</v>
      </c>
      <c r="C630" s="1365">
        <f t="shared" si="46"/>
        <v>359800</v>
      </c>
      <c r="D630" s="1366">
        <f>D631</f>
        <v>359800</v>
      </c>
      <c r="E630" s="1366"/>
      <c r="F630" s="1365">
        <f t="shared" si="47"/>
        <v>359800</v>
      </c>
      <c r="G630" s="1367">
        <f>G631</f>
        <v>359800</v>
      </c>
      <c r="H630" s="1368"/>
    </row>
    <row r="631" spans="1:8" ht="27" thickBot="1">
      <c r="A631" s="1371" t="s">
        <v>2093</v>
      </c>
      <c r="B631" s="1372" t="s">
        <v>447</v>
      </c>
      <c r="C631" s="1373">
        <f t="shared" si="46"/>
        <v>359800</v>
      </c>
      <c r="D631" s="1374">
        <v>359800</v>
      </c>
      <c r="E631" s="1374"/>
      <c r="F631" s="1373">
        <f t="shared" si="47"/>
        <v>359800</v>
      </c>
      <c r="G631" s="1375">
        <v>359800</v>
      </c>
      <c r="H631" s="1374"/>
    </row>
    <row r="632" spans="1:8" ht="36.75" thickBot="1">
      <c r="A632" s="1442" t="s">
        <v>168</v>
      </c>
      <c r="B632" s="1283" t="s">
        <v>2434</v>
      </c>
      <c r="C632" s="1443">
        <f>D632</f>
        <v>16818708.829999998</v>
      </c>
      <c r="D632" s="1444">
        <f>D633+D653+D673+D675+D674</f>
        <v>16818708.829999998</v>
      </c>
      <c r="E632" s="1444">
        <f>E633+E653+E673+E675</f>
        <v>0</v>
      </c>
      <c r="F632" s="1443">
        <f>G632:G635</f>
        <v>16452996.010000002</v>
      </c>
      <c r="G632" s="1444">
        <f>G633+G653+G673+G675</f>
        <v>16452996.010000002</v>
      </c>
      <c r="H632" s="1444">
        <f>H633+H653+H673+H675</f>
        <v>0</v>
      </c>
    </row>
    <row r="633" spans="1:8" ht="17.25" thickBot="1">
      <c r="A633" s="1340" t="s">
        <v>282</v>
      </c>
      <c r="B633" s="1341" t="s">
        <v>1577</v>
      </c>
      <c r="C633" s="1342">
        <f t="shared" ref="C633:C673" si="48">D633+E633</f>
        <v>3747917.94</v>
      </c>
      <c r="D633" s="1322">
        <f>SUM(D634:D652)</f>
        <v>3747917.94</v>
      </c>
      <c r="E633" s="1322">
        <f>SUM(E634:E652)</f>
        <v>0</v>
      </c>
      <c r="F633" s="1342">
        <f t="shared" ref="F633:F673" si="49">G633+H633</f>
        <v>3580505.89</v>
      </c>
      <c r="G633" s="1343">
        <f>SUM(G634:G652)</f>
        <v>3580505.89</v>
      </c>
      <c r="H633" s="1324">
        <f>SUM(H634:H652)</f>
        <v>0</v>
      </c>
    </row>
    <row r="634" spans="1:8" ht="16.5">
      <c r="A634" s="17" t="s">
        <v>77</v>
      </c>
      <c r="B634" s="34" t="s">
        <v>1578</v>
      </c>
      <c r="C634" s="151">
        <f t="shared" si="48"/>
        <v>2034800</v>
      </c>
      <c r="D634" s="96">
        <v>2034800</v>
      </c>
      <c r="E634" s="1397"/>
      <c r="F634" s="151">
        <f t="shared" si="49"/>
        <v>2034800</v>
      </c>
      <c r="G634" s="109">
        <v>2034800</v>
      </c>
      <c r="H634" s="1397"/>
    </row>
    <row r="635" spans="1:8" ht="16.5">
      <c r="A635" s="18" t="s">
        <v>79</v>
      </c>
      <c r="B635" s="31" t="s">
        <v>1579</v>
      </c>
      <c r="C635" s="151">
        <f t="shared" si="48"/>
        <v>88300</v>
      </c>
      <c r="D635" s="99">
        <v>88300</v>
      </c>
      <c r="E635" s="1396"/>
      <c r="F635" s="151">
        <f t="shared" si="49"/>
        <v>71059.42</v>
      </c>
      <c r="G635" s="111">
        <v>71059.42</v>
      </c>
      <c r="H635" s="1396"/>
    </row>
    <row r="636" spans="1:8" ht="16.5">
      <c r="A636" s="18" t="s">
        <v>81</v>
      </c>
      <c r="B636" s="31" t="s">
        <v>1580</v>
      </c>
      <c r="C636" s="151">
        <f t="shared" si="48"/>
        <v>550700</v>
      </c>
      <c r="D636" s="99">
        <v>550700</v>
      </c>
      <c r="E636" s="1396"/>
      <c r="F636" s="151">
        <f t="shared" si="49"/>
        <v>546756.21</v>
      </c>
      <c r="G636" s="111">
        <v>546756.21</v>
      </c>
      <c r="H636" s="1396"/>
    </row>
    <row r="637" spans="1:8" ht="16.5">
      <c r="A637" s="18" t="s">
        <v>83</v>
      </c>
      <c r="B637" s="31" t="s">
        <v>1581</v>
      </c>
      <c r="C637" s="151">
        <f t="shared" si="48"/>
        <v>199400</v>
      </c>
      <c r="D637" s="99">
        <v>199400</v>
      </c>
      <c r="E637" s="1396"/>
      <c r="F637" s="151">
        <f t="shared" si="49"/>
        <v>176979.77</v>
      </c>
      <c r="G637" s="111">
        <v>176979.77</v>
      </c>
      <c r="H637" s="1396"/>
    </row>
    <row r="638" spans="1:8" ht="16.5">
      <c r="A638" s="18" t="s">
        <v>83</v>
      </c>
      <c r="B638" s="31" t="s">
        <v>1582</v>
      </c>
      <c r="C638" s="151">
        <f t="shared" si="48"/>
        <v>0</v>
      </c>
      <c r="D638" s="99"/>
      <c r="E638" s="1396"/>
      <c r="F638" s="151">
        <f t="shared" si="49"/>
        <v>0</v>
      </c>
      <c r="G638" s="111"/>
      <c r="H638" s="1396"/>
    </row>
    <row r="639" spans="1:8" ht="16.5">
      <c r="A639" s="18" t="s">
        <v>85</v>
      </c>
      <c r="B639" s="31" t="s">
        <v>1487</v>
      </c>
      <c r="C639" s="151">
        <f t="shared" si="48"/>
        <v>179300</v>
      </c>
      <c r="D639" s="99">
        <v>179300</v>
      </c>
      <c r="E639" s="1396"/>
      <c r="F639" s="151">
        <f t="shared" si="49"/>
        <v>169025.5</v>
      </c>
      <c r="G639" s="111">
        <v>169025.5</v>
      </c>
      <c r="H639" s="1396"/>
    </row>
    <row r="640" spans="1:8" ht="16.5">
      <c r="A640" s="18" t="s">
        <v>87</v>
      </c>
      <c r="B640" s="31" t="s">
        <v>1488</v>
      </c>
      <c r="C640" s="151">
        <f t="shared" si="48"/>
        <v>1361.27</v>
      </c>
      <c r="D640" s="99">
        <v>1361.27</v>
      </c>
      <c r="E640" s="1396"/>
      <c r="F640" s="151">
        <f t="shared" si="49"/>
        <v>1360.95</v>
      </c>
      <c r="G640" s="111">
        <v>1360.95</v>
      </c>
      <c r="H640" s="1396"/>
    </row>
    <row r="641" spans="1:9" ht="16.5">
      <c r="A641" s="18" t="s">
        <v>766</v>
      </c>
      <c r="B641" s="31" t="s">
        <v>1489</v>
      </c>
      <c r="C641" s="151">
        <f t="shared" si="48"/>
        <v>0</v>
      </c>
      <c r="D641" s="99"/>
      <c r="E641" s="1396"/>
      <c r="F641" s="151">
        <f t="shared" si="49"/>
        <v>0</v>
      </c>
      <c r="G641" s="111"/>
      <c r="H641" s="1396"/>
    </row>
    <row r="642" spans="1:9" ht="16.5">
      <c r="A642" s="18" t="s">
        <v>89</v>
      </c>
      <c r="B642" s="31" t="s">
        <v>1491</v>
      </c>
      <c r="C642" s="151">
        <f t="shared" si="48"/>
        <v>2000</v>
      </c>
      <c r="D642" s="99">
        <v>2000</v>
      </c>
      <c r="E642" s="1396"/>
      <c r="F642" s="151">
        <f t="shared" si="49"/>
        <v>1500</v>
      </c>
      <c r="G642" s="111">
        <v>1500</v>
      </c>
      <c r="H642" s="1396"/>
    </row>
    <row r="643" spans="1:9" ht="16.5">
      <c r="A643" s="18" t="s">
        <v>89</v>
      </c>
      <c r="B643" s="31" t="s">
        <v>1490</v>
      </c>
      <c r="C643" s="151">
        <f t="shared" si="48"/>
        <v>31456.67</v>
      </c>
      <c r="D643" s="99">
        <v>31456.67</v>
      </c>
      <c r="E643" s="1396"/>
      <c r="F643" s="151">
        <f t="shared" si="49"/>
        <v>31277.79</v>
      </c>
      <c r="G643" s="111">
        <v>31277.79</v>
      </c>
      <c r="H643" s="1396"/>
    </row>
    <row r="644" spans="1:9" ht="16.5">
      <c r="A644" s="18" t="s">
        <v>91</v>
      </c>
      <c r="B644" s="31" t="s">
        <v>1492</v>
      </c>
      <c r="C644" s="151">
        <f t="shared" si="48"/>
        <v>0</v>
      </c>
      <c r="D644" s="99"/>
      <c r="E644" s="1396"/>
      <c r="F644" s="151">
        <f t="shared" si="49"/>
        <v>0</v>
      </c>
      <c r="G644" s="111"/>
      <c r="H644" s="1396"/>
    </row>
    <row r="645" spans="1:9" ht="16.5">
      <c r="A645" s="18" t="s">
        <v>91</v>
      </c>
      <c r="B645" s="31" t="s">
        <v>1493</v>
      </c>
      <c r="C645" s="151">
        <f t="shared" si="48"/>
        <v>117000</v>
      </c>
      <c r="D645" s="99">
        <v>117000</v>
      </c>
      <c r="E645" s="1396"/>
      <c r="F645" s="151">
        <f t="shared" si="49"/>
        <v>95175</v>
      </c>
      <c r="G645" s="111">
        <v>95175</v>
      </c>
      <c r="H645" s="1396"/>
    </row>
    <row r="646" spans="1:9" ht="16.5">
      <c r="A646" s="18" t="s">
        <v>95</v>
      </c>
      <c r="B646" s="31" t="s">
        <v>1494</v>
      </c>
      <c r="C646" s="151">
        <f t="shared" si="48"/>
        <v>219400</v>
      </c>
      <c r="D646" s="99">
        <v>219400</v>
      </c>
      <c r="E646" s="1396"/>
      <c r="F646" s="151">
        <f t="shared" si="49"/>
        <v>204250</v>
      </c>
      <c r="G646" s="111">
        <v>204250</v>
      </c>
      <c r="H646" s="1396"/>
    </row>
    <row r="647" spans="1:9" ht="16.5">
      <c r="A647" s="18" t="s">
        <v>95</v>
      </c>
      <c r="B647" s="31" t="s">
        <v>1495</v>
      </c>
      <c r="C647" s="151">
        <f t="shared" si="48"/>
        <v>82000</v>
      </c>
      <c r="D647" s="99">
        <v>82000</v>
      </c>
      <c r="E647" s="1396"/>
      <c r="F647" s="151">
        <f t="shared" si="49"/>
        <v>82000</v>
      </c>
      <c r="G647" s="111">
        <v>82000</v>
      </c>
      <c r="H647" s="1396"/>
    </row>
    <row r="648" spans="1:9" ht="16.5">
      <c r="A648" s="18" t="s">
        <v>95</v>
      </c>
      <c r="B648" s="31" t="s">
        <v>1496</v>
      </c>
      <c r="C648" s="151">
        <f t="shared" si="48"/>
        <v>7000</v>
      </c>
      <c r="D648" s="99">
        <v>7000</v>
      </c>
      <c r="E648" s="1396"/>
      <c r="F648" s="151">
        <f t="shared" si="49"/>
        <v>5109.88</v>
      </c>
      <c r="G648" s="111">
        <v>5109.88</v>
      </c>
      <c r="H648" s="1396"/>
    </row>
    <row r="649" spans="1:9" ht="16.5">
      <c r="A649" s="18" t="s">
        <v>97</v>
      </c>
      <c r="B649" s="31" t="s">
        <v>1497</v>
      </c>
      <c r="C649" s="151">
        <f t="shared" si="48"/>
        <v>10000</v>
      </c>
      <c r="D649" s="99">
        <v>10000</v>
      </c>
      <c r="E649" s="1396"/>
      <c r="F649" s="151">
        <f t="shared" si="49"/>
        <v>0</v>
      </c>
      <c r="G649" s="111"/>
      <c r="H649" s="1396"/>
    </row>
    <row r="650" spans="1:9" ht="16.5">
      <c r="A650" s="18" t="s">
        <v>97</v>
      </c>
      <c r="B650" s="31" t="s">
        <v>1498</v>
      </c>
      <c r="C650" s="151">
        <f t="shared" si="48"/>
        <v>46700</v>
      </c>
      <c r="D650" s="99">
        <v>46700</v>
      </c>
      <c r="E650" s="1396"/>
      <c r="F650" s="151">
        <f t="shared" si="49"/>
        <v>10850</v>
      </c>
      <c r="G650" s="111">
        <v>10850</v>
      </c>
      <c r="H650" s="1396"/>
    </row>
    <row r="651" spans="1:9" ht="16.5">
      <c r="A651" s="19" t="s">
        <v>100</v>
      </c>
      <c r="B651" s="32" t="s">
        <v>1499</v>
      </c>
      <c r="C651" s="151">
        <f t="shared" si="48"/>
        <v>18000</v>
      </c>
      <c r="D651" s="102">
        <v>18000</v>
      </c>
      <c r="E651" s="1376"/>
      <c r="F651" s="151">
        <f t="shared" si="49"/>
        <v>7667</v>
      </c>
      <c r="G651" s="115">
        <v>7667</v>
      </c>
      <c r="H651" s="1376"/>
    </row>
    <row r="652" spans="1:9" ht="17.25" thickBot="1">
      <c r="A652" s="19" t="s">
        <v>100</v>
      </c>
      <c r="B652" s="32" t="s">
        <v>1500</v>
      </c>
      <c r="C652" s="369">
        <f t="shared" si="48"/>
        <v>160500</v>
      </c>
      <c r="D652" s="102">
        <v>160500</v>
      </c>
      <c r="E652" s="1376"/>
      <c r="F652" s="369">
        <f t="shared" si="49"/>
        <v>142694.37</v>
      </c>
      <c r="G652" s="115">
        <v>142694.37</v>
      </c>
      <c r="H652" s="1376"/>
    </row>
    <row r="653" spans="1:9" ht="63.75" thickBot="1">
      <c r="A653" s="1344" t="s">
        <v>311</v>
      </c>
      <c r="B653" s="1333" t="s">
        <v>1501</v>
      </c>
      <c r="C653" s="1307">
        <f t="shared" si="48"/>
        <v>11511501.889999999</v>
      </c>
      <c r="D653" s="1338">
        <f>SUM(D654:D672)</f>
        <v>11511501.889999999</v>
      </c>
      <c r="E653" s="1301">
        <f>SUM(E654:E672)</f>
        <v>0</v>
      </c>
      <c r="F653" s="1307">
        <f t="shared" si="49"/>
        <v>11338201.120000001</v>
      </c>
      <c r="G653" s="1331">
        <f>SUM(G654:G672)</f>
        <v>11338201.120000001</v>
      </c>
      <c r="H653" s="1303">
        <f>SUM(H654:H672)</f>
        <v>0</v>
      </c>
    </row>
    <row r="654" spans="1:9" ht="18">
      <c r="A654" s="17" t="s">
        <v>77</v>
      </c>
      <c r="B654" s="34" t="s">
        <v>1502</v>
      </c>
      <c r="C654" s="95">
        <f t="shared" si="48"/>
        <v>7983802</v>
      </c>
      <c r="D654" s="755">
        <v>7983802</v>
      </c>
      <c r="E654" s="1397"/>
      <c r="F654" s="95">
        <f t="shared" si="49"/>
        <v>7959622</v>
      </c>
      <c r="G654" s="109">
        <v>7959622</v>
      </c>
      <c r="H654" s="1403"/>
      <c r="I654" s="578"/>
    </row>
    <row r="655" spans="1:9" ht="18">
      <c r="A655" s="18" t="s">
        <v>79</v>
      </c>
      <c r="B655" s="31" t="s">
        <v>1503</v>
      </c>
      <c r="C655" s="541">
        <f t="shared" si="48"/>
        <v>249853.83</v>
      </c>
      <c r="D655" s="755">
        <v>249853.83</v>
      </c>
      <c r="E655" s="1396"/>
      <c r="F655" s="98">
        <f t="shared" si="49"/>
        <v>236513.83</v>
      </c>
      <c r="G655" s="111">
        <v>236513.83</v>
      </c>
      <c r="H655" s="1404"/>
      <c r="I655" s="578"/>
    </row>
    <row r="656" spans="1:9" ht="18">
      <c r="A656" s="18" t="s">
        <v>81</v>
      </c>
      <c r="B656" s="31" t="s">
        <v>1504</v>
      </c>
      <c r="C656" s="541">
        <f t="shared" si="48"/>
        <v>2337349</v>
      </c>
      <c r="D656" s="755">
        <v>2337349</v>
      </c>
      <c r="E656" s="1396"/>
      <c r="F656" s="98">
        <f t="shared" si="49"/>
        <v>2334682.66</v>
      </c>
      <c r="G656" s="111">
        <v>2334682.66</v>
      </c>
      <c r="H656" s="1404"/>
      <c r="I656" s="578"/>
    </row>
    <row r="657" spans="1:9" ht="18">
      <c r="A657" s="18" t="s">
        <v>83</v>
      </c>
      <c r="B657" s="31" t="s">
        <v>1505</v>
      </c>
      <c r="C657" s="541">
        <f t="shared" si="48"/>
        <v>140000</v>
      </c>
      <c r="D657" s="755">
        <v>140000</v>
      </c>
      <c r="E657" s="1396"/>
      <c r="F657" s="98">
        <f t="shared" si="49"/>
        <v>127225.02</v>
      </c>
      <c r="G657" s="111">
        <v>127225.02</v>
      </c>
      <c r="H657" s="1404"/>
      <c r="I657" s="578"/>
    </row>
    <row r="658" spans="1:9" ht="18">
      <c r="A658" s="18" t="s">
        <v>83</v>
      </c>
      <c r="B658" s="31" t="s">
        <v>1506</v>
      </c>
      <c r="C658" s="541">
        <f t="shared" si="48"/>
        <v>0</v>
      </c>
      <c r="D658" s="755"/>
      <c r="E658" s="1396"/>
      <c r="F658" s="98">
        <f t="shared" si="49"/>
        <v>0</v>
      </c>
      <c r="G658" s="111"/>
      <c r="H658" s="1404"/>
      <c r="I658" s="578"/>
    </row>
    <row r="659" spans="1:9" ht="18">
      <c r="A659" s="18" t="s">
        <v>85</v>
      </c>
      <c r="B659" s="31" t="s">
        <v>1507</v>
      </c>
      <c r="C659" s="541">
        <f t="shared" si="48"/>
        <v>0</v>
      </c>
      <c r="D659" s="755"/>
      <c r="E659" s="1396"/>
      <c r="F659" s="98">
        <f t="shared" si="49"/>
        <v>0</v>
      </c>
      <c r="G659" s="111"/>
      <c r="H659" s="1404"/>
      <c r="I659" s="578"/>
    </row>
    <row r="660" spans="1:9" ht="18">
      <c r="A660" s="18" t="s">
        <v>85</v>
      </c>
      <c r="B660" s="31" t="s">
        <v>1508</v>
      </c>
      <c r="C660" s="541">
        <f t="shared" si="48"/>
        <v>132053.70000000001</v>
      </c>
      <c r="D660" s="755">
        <v>132053.70000000001</v>
      </c>
      <c r="E660" s="1396"/>
      <c r="F660" s="98">
        <f t="shared" si="49"/>
        <v>108436.09</v>
      </c>
      <c r="G660" s="111">
        <v>108436.09</v>
      </c>
      <c r="H660" s="1404"/>
      <c r="I660" s="578"/>
    </row>
    <row r="661" spans="1:9" ht="18">
      <c r="A661" s="18" t="s">
        <v>87</v>
      </c>
      <c r="B661" s="31" t="s">
        <v>1509</v>
      </c>
      <c r="C661" s="541">
        <f t="shared" si="48"/>
        <v>0</v>
      </c>
      <c r="D661" s="755"/>
      <c r="E661" s="1396"/>
      <c r="F661" s="98">
        <f t="shared" si="49"/>
        <v>0</v>
      </c>
      <c r="G661" s="111"/>
      <c r="H661" s="1404"/>
      <c r="I661" s="578"/>
    </row>
    <row r="662" spans="1:9" ht="18">
      <c r="A662" s="18" t="s">
        <v>766</v>
      </c>
      <c r="B662" s="31" t="s">
        <v>1510</v>
      </c>
      <c r="C662" s="541">
        <f t="shared" si="48"/>
        <v>0</v>
      </c>
      <c r="D662" s="755"/>
      <c r="E662" s="1396"/>
      <c r="F662" s="98">
        <f t="shared" si="49"/>
        <v>0</v>
      </c>
      <c r="G662" s="111"/>
      <c r="H662" s="1404"/>
      <c r="I662" s="578"/>
    </row>
    <row r="663" spans="1:9" ht="18">
      <c r="A663" s="18" t="s">
        <v>89</v>
      </c>
      <c r="B663" s="31" t="s">
        <v>1511</v>
      </c>
      <c r="C663" s="541">
        <f t="shared" si="48"/>
        <v>4500</v>
      </c>
      <c r="D663" s="755">
        <v>4500</v>
      </c>
      <c r="E663" s="1396"/>
      <c r="F663" s="98">
        <f t="shared" si="49"/>
        <v>1200</v>
      </c>
      <c r="G663" s="111">
        <v>1200</v>
      </c>
      <c r="H663" s="1404"/>
      <c r="I663" s="578"/>
    </row>
    <row r="664" spans="1:9" ht="18">
      <c r="A664" s="18" t="s">
        <v>89</v>
      </c>
      <c r="B664" s="31" t="s">
        <v>1512</v>
      </c>
      <c r="C664" s="541">
        <f t="shared" si="48"/>
        <v>15932.36</v>
      </c>
      <c r="D664" s="755">
        <v>15932.36</v>
      </c>
      <c r="E664" s="1396"/>
      <c r="F664" s="98">
        <f t="shared" si="49"/>
        <v>8007.31</v>
      </c>
      <c r="G664" s="111">
        <v>8007.31</v>
      </c>
      <c r="H664" s="1404"/>
      <c r="I664" s="578"/>
    </row>
    <row r="665" spans="1:9" ht="18">
      <c r="A665" s="18" t="s">
        <v>91</v>
      </c>
      <c r="B665" s="31" t="s">
        <v>1513</v>
      </c>
      <c r="C665" s="541">
        <f t="shared" si="48"/>
        <v>140069.19</v>
      </c>
      <c r="D665" s="755">
        <v>140069.19</v>
      </c>
      <c r="E665" s="1396"/>
      <c r="F665" s="98">
        <f t="shared" si="49"/>
        <v>124645.34</v>
      </c>
      <c r="G665" s="111">
        <v>124645.34</v>
      </c>
      <c r="H665" s="1404"/>
      <c r="I665" s="578"/>
    </row>
    <row r="666" spans="1:9" ht="18">
      <c r="A666" s="18" t="s">
        <v>91</v>
      </c>
      <c r="B666" s="31" t="s">
        <v>2128</v>
      </c>
      <c r="C666" s="541">
        <f t="shared" si="48"/>
        <v>115130.81</v>
      </c>
      <c r="D666" s="755">
        <v>115130.81</v>
      </c>
      <c r="E666" s="1396"/>
      <c r="F666" s="98">
        <f t="shared" si="49"/>
        <v>94926.92</v>
      </c>
      <c r="G666" s="111">
        <v>94926.92</v>
      </c>
      <c r="H666" s="1404"/>
      <c r="I666" s="578"/>
    </row>
    <row r="667" spans="1:9" ht="18">
      <c r="A667" s="18" t="s">
        <v>95</v>
      </c>
      <c r="B667" s="31" t="s">
        <v>2129</v>
      </c>
      <c r="C667" s="541">
        <f t="shared" si="48"/>
        <v>46550</v>
      </c>
      <c r="D667" s="755">
        <v>46550</v>
      </c>
      <c r="E667" s="1396"/>
      <c r="F667" s="98">
        <f t="shared" si="49"/>
        <v>39900</v>
      </c>
      <c r="G667" s="111">
        <v>39900</v>
      </c>
      <c r="H667" s="1404"/>
      <c r="I667" s="578"/>
    </row>
    <row r="668" spans="1:9" ht="18">
      <c r="A668" s="18" t="s">
        <v>95</v>
      </c>
      <c r="B668" s="31" t="s">
        <v>2130</v>
      </c>
      <c r="C668" s="541">
        <f t="shared" si="48"/>
        <v>7160</v>
      </c>
      <c r="D668" s="755">
        <v>7160</v>
      </c>
      <c r="E668" s="1396"/>
      <c r="F668" s="98">
        <f t="shared" si="49"/>
        <v>4558.8</v>
      </c>
      <c r="G668" s="111">
        <v>4558.8</v>
      </c>
      <c r="H668" s="1404"/>
      <c r="I668" s="578"/>
    </row>
    <row r="669" spans="1:9" ht="18">
      <c r="A669" s="18" t="s">
        <v>97</v>
      </c>
      <c r="B669" s="31" t="s">
        <v>2131</v>
      </c>
      <c r="C669" s="541">
        <f t="shared" si="48"/>
        <v>101947</v>
      </c>
      <c r="D669" s="755">
        <v>101947</v>
      </c>
      <c r="E669" s="1396"/>
      <c r="F669" s="98">
        <f t="shared" si="49"/>
        <v>98947</v>
      </c>
      <c r="G669" s="111">
        <v>98947</v>
      </c>
      <c r="H669" s="1404"/>
      <c r="I669" s="578"/>
    </row>
    <row r="670" spans="1:9" ht="18">
      <c r="A670" s="18" t="s">
        <v>97</v>
      </c>
      <c r="B670" s="31" t="s">
        <v>2132</v>
      </c>
      <c r="C670" s="541">
        <f t="shared" si="48"/>
        <v>75090</v>
      </c>
      <c r="D670" s="755">
        <v>75090</v>
      </c>
      <c r="E670" s="1396"/>
      <c r="F670" s="98">
        <f t="shared" si="49"/>
        <v>75090</v>
      </c>
      <c r="G670" s="111">
        <v>75090</v>
      </c>
      <c r="H670" s="1396"/>
      <c r="I670" s="578"/>
    </row>
    <row r="671" spans="1:9" ht="18">
      <c r="A671" s="19" t="s">
        <v>100</v>
      </c>
      <c r="B671" s="32" t="s">
        <v>2133</v>
      </c>
      <c r="C671" s="541">
        <f t="shared" si="48"/>
        <v>45866.15</v>
      </c>
      <c r="D671" s="755">
        <v>45866.15</v>
      </c>
      <c r="E671" s="1376"/>
      <c r="F671" s="98">
        <f t="shared" si="49"/>
        <v>44745.15</v>
      </c>
      <c r="G671" s="115">
        <v>44745.15</v>
      </c>
      <c r="H671" s="1376"/>
      <c r="I671" s="578"/>
    </row>
    <row r="672" spans="1:9" ht="18.75" thickBot="1">
      <c r="A672" s="19" t="s">
        <v>100</v>
      </c>
      <c r="B672" s="32" t="s">
        <v>2134</v>
      </c>
      <c r="C672" s="113">
        <f t="shared" si="48"/>
        <v>116197.85</v>
      </c>
      <c r="D672" s="755">
        <v>116197.85</v>
      </c>
      <c r="E672" s="1376"/>
      <c r="F672" s="98">
        <f t="shared" si="49"/>
        <v>79701</v>
      </c>
      <c r="G672" s="115">
        <v>79701</v>
      </c>
      <c r="H672" s="1376"/>
      <c r="I672" s="578"/>
    </row>
    <row r="673" spans="1:9" ht="52.5" thickBot="1">
      <c r="A673" s="1612" t="s">
        <v>1068</v>
      </c>
      <c r="B673" s="1618" t="s">
        <v>449</v>
      </c>
      <c r="C673" s="1590">
        <f t="shared" si="48"/>
        <v>304839</v>
      </c>
      <c r="D673" s="1591">
        <v>304839</v>
      </c>
      <c r="E673" s="1591"/>
      <c r="F673" s="1590">
        <f t="shared" si="49"/>
        <v>304839</v>
      </c>
      <c r="G673" s="1591">
        <v>304839</v>
      </c>
      <c r="H673" s="1614"/>
      <c r="I673" s="578"/>
    </row>
    <row r="674" spans="1:9" ht="52.5" thickBot="1">
      <c r="A674" s="1547" t="s">
        <v>451</v>
      </c>
      <c r="B674" s="1548" t="s">
        <v>450</v>
      </c>
      <c r="C674" s="1542">
        <f>D674</f>
        <v>25000</v>
      </c>
      <c r="D674" s="1549">
        <v>25000</v>
      </c>
      <c r="E674" s="1549"/>
      <c r="F674" s="1542"/>
      <c r="G674" s="1549"/>
      <c r="H674" s="1550"/>
      <c r="I674" s="578"/>
    </row>
    <row r="675" spans="1:9" ht="52.5" thickBot="1">
      <c r="A675" s="1660" t="s">
        <v>369</v>
      </c>
      <c r="B675" s="1661" t="s">
        <v>453</v>
      </c>
      <c r="C675" s="1632">
        <f t="shared" ref="C675:C706" si="50">D675+E675</f>
        <v>1229450</v>
      </c>
      <c r="D675" s="1633">
        <f>SUM(D676:D680)</f>
        <v>1229450</v>
      </c>
      <c r="E675" s="1633"/>
      <c r="F675" s="1632">
        <f t="shared" ref="F675:F680" si="51">G675+H675</f>
        <v>1229450</v>
      </c>
      <c r="G675" s="1633">
        <f>SUM(G676:G680)</f>
        <v>1229450</v>
      </c>
      <c r="H675" s="1662"/>
      <c r="I675" s="578"/>
    </row>
    <row r="676" spans="1:9" ht="18">
      <c r="A676" s="1663"/>
      <c r="B676" s="1661" t="s">
        <v>454</v>
      </c>
      <c r="C676" s="1664">
        <f t="shared" si="50"/>
        <v>671606</v>
      </c>
      <c r="D676" s="1665">
        <v>671606</v>
      </c>
      <c r="E676" s="1665"/>
      <c r="F676" s="1664">
        <f t="shared" si="51"/>
        <v>671606</v>
      </c>
      <c r="G676" s="1665">
        <v>671606</v>
      </c>
      <c r="H676" s="1666"/>
      <c r="I676" s="578"/>
    </row>
    <row r="677" spans="1:9" ht="18">
      <c r="A677" s="1667"/>
      <c r="B677" s="1668" t="s">
        <v>455</v>
      </c>
      <c r="C677" s="1640">
        <f t="shared" si="50"/>
        <v>190200</v>
      </c>
      <c r="D677" s="1641">
        <v>190200</v>
      </c>
      <c r="E677" s="1641"/>
      <c r="F677" s="1640">
        <f t="shared" si="51"/>
        <v>190200</v>
      </c>
      <c r="G677" s="1641">
        <v>190200</v>
      </c>
      <c r="H677" s="1641"/>
      <c r="I677" s="578"/>
    </row>
    <row r="678" spans="1:9" ht="18">
      <c r="A678" s="1667"/>
      <c r="B678" s="1668" t="s">
        <v>456</v>
      </c>
      <c r="C678" s="1640">
        <f t="shared" si="50"/>
        <v>246894</v>
      </c>
      <c r="D678" s="1641">
        <v>246894</v>
      </c>
      <c r="E678" s="1641"/>
      <c r="F678" s="1640">
        <f t="shared" si="51"/>
        <v>246894</v>
      </c>
      <c r="G678" s="1641">
        <v>246894</v>
      </c>
      <c r="H678" s="1641"/>
      <c r="I678" s="578"/>
    </row>
    <row r="679" spans="1:9" ht="18">
      <c r="A679" s="1667"/>
      <c r="B679" s="1668" t="s">
        <v>457</v>
      </c>
      <c r="C679" s="1640">
        <f t="shared" si="50"/>
        <v>86700</v>
      </c>
      <c r="D679" s="1641">
        <v>86700</v>
      </c>
      <c r="E679" s="1641"/>
      <c r="F679" s="1640">
        <f t="shared" si="51"/>
        <v>86700</v>
      </c>
      <c r="G679" s="1641">
        <v>86700</v>
      </c>
      <c r="H679" s="1641"/>
      <c r="I679" s="578"/>
    </row>
    <row r="680" spans="1:9" ht="18.75" thickBot="1">
      <c r="A680" s="1669"/>
      <c r="B680" s="1670" t="s">
        <v>452</v>
      </c>
      <c r="C680" s="1671">
        <f t="shared" si="50"/>
        <v>34050</v>
      </c>
      <c r="D680" s="1672">
        <v>34050</v>
      </c>
      <c r="E680" s="1672"/>
      <c r="F680" s="1671">
        <f t="shared" si="51"/>
        <v>34050</v>
      </c>
      <c r="G680" s="1672">
        <v>34050</v>
      </c>
      <c r="H680" s="1673"/>
      <c r="I680" s="578"/>
    </row>
    <row r="681" spans="1:9" ht="32.25" thickBot="1">
      <c r="A681" s="1246" t="s">
        <v>170</v>
      </c>
      <c r="B681" s="1233" t="s">
        <v>171</v>
      </c>
      <c r="C681" s="1234">
        <f t="shared" si="50"/>
        <v>45927921.690000005</v>
      </c>
      <c r="D681" s="1235">
        <f>SUM(D682:D695)</f>
        <v>45233416.690000005</v>
      </c>
      <c r="E681" s="1235">
        <f>SUM(E682:E695)</f>
        <v>694505</v>
      </c>
      <c r="F681" s="1234">
        <f t="shared" ref="F681:F712" si="52">G681+H681</f>
        <v>45639517.200000018</v>
      </c>
      <c r="G681" s="1235">
        <f>SUM(G682:G695)</f>
        <v>44948310.390000015</v>
      </c>
      <c r="H681" s="1235">
        <f>SUM(H682:H695)</f>
        <v>691206.81</v>
      </c>
      <c r="I681" s="578"/>
    </row>
    <row r="682" spans="1:9" ht="16.5">
      <c r="A682" s="460" t="s">
        <v>77</v>
      </c>
      <c r="B682" s="461" t="s">
        <v>172</v>
      </c>
      <c r="C682" s="1213">
        <f t="shared" si="50"/>
        <v>27678286.370000001</v>
      </c>
      <c r="D682" s="1203">
        <f>D698+D718+D737+D758+D778+D800+D768+D797</f>
        <v>27678286.370000001</v>
      </c>
      <c r="E682" s="1203">
        <f>E698+E718+E737+E758+E778+E800+E768+E797</f>
        <v>0</v>
      </c>
      <c r="F682" s="1213">
        <f t="shared" si="52"/>
        <v>27678275.609999999</v>
      </c>
      <c r="G682" s="1203">
        <f>G698+G718+G737+G758+G778+G800+G768+G797</f>
        <v>27678275.609999999</v>
      </c>
      <c r="H682" s="1203">
        <f>H698+H718+H737+H758+H778+H800+H768+H797</f>
        <v>0</v>
      </c>
    </row>
    <row r="683" spans="1:9" ht="16.5">
      <c r="A683" s="272" t="s">
        <v>79</v>
      </c>
      <c r="B683" s="451" t="s">
        <v>173</v>
      </c>
      <c r="C683" s="291">
        <f t="shared" si="50"/>
        <v>261948</v>
      </c>
      <c r="D683" s="1214">
        <f>D699+D719+D738+D779</f>
        <v>261948</v>
      </c>
      <c r="E683" s="1214">
        <f>E699+E719+E738+E779</f>
        <v>0</v>
      </c>
      <c r="F683" s="291">
        <f t="shared" si="52"/>
        <v>261148.36</v>
      </c>
      <c r="G683" s="1214">
        <f>G699+G719+G738+G779</f>
        <v>261148.36</v>
      </c>
      <c r="H683" s="1214">
        <f>H699+H719+H738+H779</f>
        <v>0</v>
      </c>
    </row>
    <row r="684" spans="1:9" ht="16.5">
      <c r="A684" s="272" t="s">
        <v>81</v>
      </c>
      <c r="B684" s="451" t="s">
        <v>174</v>
      </c>
      <c r="C684" s="291">
        <f t="shared" si="50"/>
        <v>7911364</v>
      </c>
      <c r="D684" s="1214">
        <f>D700+D720+D739+D759+D780+D801+D798+D769</f>
        <v>7911364</v>
      </c>
      <c r="E684" s="1214">
        <f>E700+E720+E739+E759+E780+E801+E798+E769</f>
        <v>0</v>
      </c>
      <c r="F684" s="291">
        <f t="shared" si="52"/>
        <v>7883308.3499999996</v>
      </c>
      <c r="G684" s="1214">
        <f>G700+G720+G739+G759+G780+G801+G798+G769</f>
        <v>7883308.3499999996</v>
      </c>
      <c r="H684" s="1214">
        <f>H700+H720+H739+H759+H780+H801+H798+H769</f>
        <v>0</v>
      </c>
    </row>
    <row r="685" spans="1:9" ht="16.5">
      <c r="A685" s="272" t="s">
        <v>83</v>
      </c>
      <c r="B685" s="451" t="s">
        <v>175</v>
      </c>
      <c r="C685" s="291">
        <f t="shared" si="50"/>
        <v>422560.4</v>
      </c>
      <c r="D685" s="1214">
        <f>D701+D702+D721+D722+D740+D741+D781+D782</f>
        <v>422560.4</v>
      </c>
      <c r="E685" s="1214">
        <f>E701+E702+E721+E722+E740+E741+E781+E782</f>
        <v>0</v>
      </c>
      <c r="F685" s="291">
        <f t="shared" si="52"/>
        <v>420964.89</v>
      </c>
      <c r="G685" s="1214">
        <f>G701+G702+G721+G722+G740+G741+G781+G782</f>
        <v>420964.89</v>
      </c>
      <c r="H685" s="1214">
        <f>H701+H702+H721+H722+H740+H741+H781+H782</f>
        <v>0</v>
      </c>
    </row>
    <row r="686" spans="1:9" ht="16.5">
      <c r="A686" s="272" t="s">
        <v>85</v>
      </c>
      <c r="B686" s="451" t="s">
        <v>176</v>
      </c>
      <c r="C686" s="291">
        <f t="shared" si="50"/>
        <v>228656.8</v>
      </c>
      <c r="D686" s="1214">
        <f>D703+D723+D742+D783+D772</f>
        <v>228656.8</v>
      </c>
      <c r="E686" s="1214">
        <f>E703+E723+E742+E783+E772</f>
        <v>0</v>
      </c>
      <c r="F686" s="291">
        <f t="shared" si="52"/>
        <v>228597.02000000002</v>
      </c>
      <c r="G686" s="1214">
        <f>G703+G723+G742+G783+G772</f>
        <v>228597.02000000002</v>
      </c>
      <c r="H686" s="1214">
        <f>H703+H723+H742+H783+H772</f>
        <v>0</v>
      </c>
    </row>
    <row r="687" spans="1:9" ht="16.5">
      <c r="A687" s="272" t="s">
        <v>87</v>
      </c>
      <c r="B687" s="451" t="s">
        <v>177</v>
      </c>
      <c r="C687" s="291">
        <f t="shared" si="50"/>
        <v>1107532</v>
      </c>
      <c r="D687" s="1214">
        <f>D704+D724+D743+D760+D784+D802+D770</f>
        <v>1107532</v>
      </c>
      <c r="E687" s="1214">
        <f>E704+E724+E743+E760+E784+E802+E770</f>
        <v>0</v>
      </c>
      <c r="F687" s="291">
        <f t="shared" si="52"/>
        <v>1074288.6200000001</v>
      </c>
      <c r="G687" s="1214">
        <f>G704+G724+G743+G760+G784+G802+G770</f>
        <v>1074288.6200000001</v>
      </c>
      <c r="H687" s="1214">
        <f>H704+H724+H743+H760+H784+H802+H770</f>
        <v>0</v>
      </c>
    </row>
    <row r="688" spans="1:9" ht="16.5">
      <c r="A688" s="272" t="s">
        <v>25</v>
      </c>
      <c r="B688" s="451" t="s">
        <v>71</v>
      </c>
      <c r="C688" s="291">
        <f t="shared" si="50"/>
        <v>107615.34</v>
      </c>
      <c r="D688" s="1214">
        <f>D705+D725+D744+D785</f>
        <v>107615.34</v>
      </c>
      <c r="E688" s="1214">
        <f>E705+E725+E744+E785</f>
        <v>0</v>
      </c>
      <c r="F688" s="291">
        <f t="shared" si="52"/>
        <v>107615.34</v>
      </c>
      <c r="G688" s="1214">
        <f>G705+G725+G744+G785</f>
        <v>107615.34</v>
      </c>
      <c r="H688" s="1214">
        <f>H705+H725+H744+H785</f>
        <v>0</v>
      </c>
    </row>
    <row r="689" spans="1:8" ht="16.5">
      <c r="A689" s="272" t="s">
        <v>89</v>
      </c>
      <c r="B689" s="451" t="s">
        <v>41</v>
      </c>
      <c r="C689" s="291">
        <f t="shared" si="50"/>
        <v>1167578.2000000002</v>
      </c>
      <c r="D689" s="1214">
        <f>D706+D726+D727+D745+D746+D707+D786+D787</f>
        <v>1167578.2000000002</v>
      </c>
      <c r="E689" s="1214">
        <f>E706+E726+E727+E745+E746+E707+E786+E787</f>
        <v>0</v>
      </c>
      <c r="F689" s="291">
        <f t="shared" si="52"/>
        <v>1164612.2000000002</v>
      </c>
      <c r="G689" s="1214">
        <f>G706+G726+G727+G745+G746+G707+G786+G787</f>
        <v>1164612.2000000002</v>
      </c>
      <c r="H689" s="1214">
        <f>H706+H726+H727+H745+H746+H707+H786+H787</f>
        <v>0</v>
      </c>
    </row>
    <row r="690" spans="1:8" ht="16.5">
      <c r="A690" s="272" t="s">
        <v>91</v>
      </c>
      <c r="B690" s="451" t="s">
        <v>178</v>
      </c>
      <c r="C690" s="291">
        <f t="shared" si="50"/>
        <v>1813777.9599999997</v>
      </c>
      <c r="D690" s="1214">
        <f>D708+D729+D748+D789+D709+D747+D788+D728+D756+D773</f>
        <v>1702977.9599999997</v>
      </c>
      <c r="E690" s="1214">
        <f>E708+E729+E748+E789+E709+E747+E768+E788+E728+E756+E773</f>
        <v>110800</v>
      </c>
      <c r="F690" s="291">
        <f t="shared" si="52"/>
        <v>1657028.82</v>
      </c>
      <c r="G690" s="1214">
        <f>G708+G729+G748+G789+G709+G747+G788+G728+G756+G773</f>
        <v>1546678.82</v>
      </c>
      <c r="H690" s="1214">
        <f>H708+H729+H748+H789+H709+H747+H768+H788+H728+H756+H773</f>
        <v>110350</v>
      </c>
    </row>
    <row r="691" spans="1:8" ht="39">
      <c r="A691" s="272" t="s">
        <v>62</v>
      </c>
      <c r="B691" s="451" t="s">
        <v>1019</v>
      </c>
      <c r="C691" s="291">
        <f t="shared" si="50"/>
        <v>0</v>
      </c>
      <c r="D691" s="1214"/>
      <c r="E691" s="1214"/>
      <c r="F691" s="291">
        <f t="shared" si="52"/>
        <v>0</v>
      </c>
      <c r="G691" s="1214"/>
      <c r="H691" s="1214"/>
    </row>
    <row r="692" spans="1:8" ht="16.5">
      <c r="A692" s="272"/>
      <c r="B692" s="451" t="s">
        <v>2154</v>
      </c>
      <c r="C692" s="291">
        <f t="shared" si="50"/>
        <v>0</v>
      </c>
      <c r="D692" s="1214">
        <f>D710+D730</f>
        <v>0</v>
      </c>
      <c r="E692" s="1214">
        <f>E710+E730</f>
        <v>0</v>
      </c>
      <c r="F692" s="291">
        <f t="shared" si="52"/>
        <v>0</v>
      </c>
      <c r="G692" s="1214">
        <f>G710+G730</f>
        <v>0</v>
      </c>
      <c r="H692" s="1214">
        <f>H710+H730</f>
        <v>0</v>
      </c>
    </row>
    <row r="693" spans="1:8" ht="16.5">
      <c r="A693" s="272" t="s">
        <v>95</v>
      </c>
      <c r="B693" s="451" t="s">
        <v>179</v>
      </c>
      <c r="C693" s="291">
        <f t="shared" si="50"/>
        <v>472562.04</v>
      </c>
      <c r="D693" s="1214">
        <f>D711+D712+D731+D732+D790+D791+D750+D749</f>
        <v>91567.039999999994</v>
      </c>
      <c r="E693" s="1214">
        <f>E711+E712+E731+E732+E790+E791+E750+E749</f>
        <v>380995</v>
      </c>
      <c r="F693" s="291">
        <f t="shared" si="52"/>
        <v>470213.08999999997</v>
      </c>
      <c r="G693" s="1214">
        <f>G711+G712+G731+G732+G790+G791+G750+G749</f>
        <v>89813.09</v>
      </c>
      <c r="H693" s="1214">
        <f>H711+H712+H731+H732+H790+H791+H750+H749</f>
        <v>380400</v>
      </c>
    </row>
    <row r="694" spans="1:8" ht="16.5">
      <c r="A694" s="272" t="s">
        <v>97</v>
      </c>
      <c r="B694" s="451" t="s">
        <v>180</v>
      </c>
      <c r="C694" s="291">
        <f t="shared" si="50"/>
        <v>3516622.2300000004</v>
      </c>
      <c r="D694" s="1214">
        <f>D713+D714+D733+D7290+D793+D766+D751+D765+D774+D762+D763+D792</f>
        <v>3496622.2300000004</v>
      </c>
      <c r="E694" s="1214">
        <f>E713+E714+E733+E7290+E793+E766+E751+E765+E774+E762+E763+E792</f>
        <v>20000</v>
      </c>
      <c r="F694" s="291">
        <f t="shared" si="52"/>
        <v>3513838.5900000003</v>
      </c>
      <c r="G694" s="1214">
        <f>G713+G714+G733+G751+G752+G762+G763+G765+G766+G774+G792+G793</f>
        <v>3495138.5900000003</v>
      </c>
      <c r="H694" s="1214">
        <f>H713+H714+H733+H7290+H793+H766+H751+H765+H774+H762+H763+H792</f>
        <v>18700</v>
      </c>
    </row>
    <row r="695" spans="1:8" ht="16.5">
      <c r="A695" s="1215" t="s">
        <v>100</v>
      </c>
      <c r="B695" s="1216" t="s">
        <v>181</v>
      </c>
      <c r="C695" s="1213">
        <f t="shared" si="50"/>
        <v>1239418.3500000001</v>
      </c>
      <c r="D695" s="1217">
        <f>D715+D716+D734+D735+D753+D754+D794+D795+D775</f>
        <v>1056708.3500000001</v>
      </c>
      <c r="E695" s="1217">
        <f>E715+E716+E734+E735+E753+E754+E794+E795+E775</f>
        <v>182710</v>
      </c>
      <c r="F695" s="1213">
        <f t="shared" si="52"/>
        <v>1179626.31</v>
      </c>
      <c r="G695" s="1217">
        <f>G715+G716+G734+G735+G753+G754+G794+G795+G775</f>
        <v>997869.5</v>
      </c>
      <c r="H695" s="1217">
        <f>H715+H716+H734+H735+H753+H754+H794+H795+H775</f>
        <v>181756.81</v>
      </c>
    </row>
    <row r="696" spans="1:8" ht="18">
      <c r="A696" s="1445" t="s">
        <v>182</v>
      </c>
      <c r="B696" s="1439" t="s">
        <v>2438</v>
      </c>
      <c r="C696" s="1446">
        <f t="shared" si="50"/>
        <v>37785394.600000001</v>
      </c>
      <c r="D696" s="1447">
        <f>D697+D717+D736+D757+D755+D764+D767+D771+D761</f>
        <v>37090889.600000001</v>
      </c>
      <c r="E696" s="1447">
        <f>E697+E717+E736+E757+E755+E764+E767+E771</f>
        <v>694505</v>
      </c>
      <c r="F696" s="1446">
        <f t="shared" si="52"/>
        <v>37503953.369999997</v>
      </c>
      <c r="G696" s="1447">
        <f>G697+G717+G736+G757+G755+G764+G767+G771+G761</f>
        <v>36812746.559999995</v>
      </c>
      <c r="H696" s="1447">
        <f>H697+H717+H736+H757+H755+H764+H767+H771</f>
        <v>691206.81</v>
      </c>
    </row>
    <row r="697" spans="1:8" ht="48" thickBot="1">
      <c r="A697" s="1319" t="s">
        <v>1814</v>
      </c>
      <c r="B697" s="1341" t="s">
        <v>2341</v>
      </c>
      <c r="C697" s="1342">
        <f t="shared" si="50"/>
        <v>10762502</v>
      </c>
      <c r="D697" s="1346">
        <f>SUM(D698:D716)</f>
        <v>10108007</v>
      </c>
      <c r="E697" s="1346">
        <f>SUM(E698:E720)</f>
        <v>654495</v>
      </c>
      <c r="F697" s="1342">
        <f t="shared" si="52"/>
        <v>10742812.109999998</v>
      </c>
      <c r="G697" s="1346">
        <f>SUM(G698:G716)</f>
        <v>10091612.109999998</v>
      </c>
      <c r="H697" s="1346">
        <f>SUM(H698:H716)</f>
        <v>651200</v>
      </c>
    </row>
    <row r="698" spans="1:8" ht="16.5">
      <c r="A698" s="17" t="s">
        <v>77</v>
      </c>
      <c r="B698" s="34" t="s">
        <v>2342</v>
      </c>
      <c r="C698" s="151">
        <f t="shared" si="50"/>
        <v>5635221</v>
      </c>
      <c r="D698" s="96">
        <v>5635221</v>
      </c>
      <c r="E698" s="1397"/>
      <c r="F698" s="151">
        <f t="shared" si="52"/>
        <v>5635221</v>
      </c>
      <c r="G698" s="96">
        <v>5635221</v>
      </c>
      <c r="H698" s="1397"/>
    </row>
    <row r="699" spans="1:8" ht="16.5">
      <c r="A699" s="18" t="s">
        <v>79</v>
      </c>
      <c r="B699" s="34" t="s">
        <v>2343</v>
      </c>
      <c r="C699" s="98">
        <f t="shared" si="50"/>
        <v>135948</v>
      </c>
      <c r="D699" s="99">
        <v>135948</v>
      </c>
      <c r="E699" s="1396"/>
      <c r="F699" s="98">
        <f t="shared" si="52"/>
        <v>135848</v>
      </c>
      <c r="G699" s="99">
        <v>135848</v>
      </c>
      <c r="H699" s="1396"/>
    </row>
    <row r="700" spans="1:8" ht="16.5">
      <c r="A700" s="18" t="s">
        <v>81</v>
      </c>
      <c r="B700" s="34" t="s">
        <v>2344</v>
      </c>
      <c r="C700" s="98">
        <f t="shared" si="50"/>
        <v>2206195</v>
      </c>
      <c r="D700" s="99">
        <v>2206195</v>
      </c>
      <c r="E700" s="1396"/>
      <c r="F700" s="98">
        <f t="shared" si="52"/>
        <v>2206195</v>
      </c>
      <c r="G700" s="99">
        <v>2206195</v>
      </c>
      <c r="H700" s="1396"/>
    </row>
    <row r="701" spans="1:8" ht="16.5">
      <c r="A701" s="18" t="s">
        <v>83</v>
      </c>
      <c r="B701" s="34" t="s">
        <v>2345</v>
      </c>
      <c r="C701" s="98">
        <f t="shared" si="50"/>
        <v>81440.990000000005</v>
      </c>
      <c r="D701" s="99">
        <v>81440.990000000005</v>
      </c>
      <c r="E701" s="1396"/>
      <c r="F701" s="98">
        <f t="shared" si="52"/>
        <v>80476.17</v>
      </c>
      <c r="G701" s="99">
        <v>80476.17</v>
      </c>
      <c r="H701" s="1396"/>
    </row>
    <row r="702" spans="1:8" ht="16.5">
      <c r="A702" s="18" t="s">
        <v>83</v>
      </c>
      <c r="B702" s="34" t="s">
        <v>2346</v>
      </c>
      <c r="C702" s="98">
        <f t="shared" si="50"/>
        <v>0</v>
      </c>
      <c r="D702" s="99"/>
      <c r="E702" s="1396"/>
      <c r="F702" s="98">
        <f t="shared" si="52"/>
        <v>0</v>
      </c>
      <c r="G702" s="99"/>
      <c r="H702" s="1396"/>
    </row>
    <row r="703" spans="1:8" ht="16.5">
      <c r="A703" s="18" t="s">
        <v>85</v>
      </c>
      <c r="B703" s="34" t="s">
        <v>2348</v>
      </c>
      <c r="C703" s="98">
        <f t="shared" si="50"/>
        <v>69580</v>
      </c>
      <c r="D703" s="99">
        <v>69580</v>
      </c>
      <c r="E703" s="1396"/>
      <c r="F703" s="98">
        <f t="shared" si="52"/>
        <v>69580</v>
      </c>
      <c r="G703" s="99">
        <v>69580</v>
      </c>
      <c r="H703" s="1396"/>
    </row>
    <row r="704" spans="1:8" ht="16.5">
      <c r="A704" s="18" t="s">
        <v>87</v>
      </c>
      <c r="B704" s="34" t="s">
        <v>2349</v>
      </c>
      <c r="C704" s="98">
        <f t="shared" si="50"/>
        <v>30000</v>
      </c>
      <c r="D704" s="99">
        <v>30000</v>
      </c>
      <c r="E704" s="1396"/>
      <c r="F704" s="98">
        <f t="shared" si="52"/>
        <v>30000</v>
      </c>
      <c r="G704" s="99">
        <v>30000</v>
      </c>
      <c r="H704" s="1396"/>
    </row>
    <row r="705" spans="1:9" ht="16.5">
      <c r="A705" s="18" t="s">
        <v>25</v>
      </c>
      <c r="B705" s="34" t="s">
        <v>2350</v>
      </c>
      <c r="C705" s="98">
        <f t="shared" si="50"/>
        <v>0</v>
      </c>
      <c r="D705" s="99"/>
      <c r="E705" s="1396"/>
      <c r="F705" s="98">
        <f t="shared" si="52"/>
        <v>0</v>
      </c>
      <c r="G705" s="99"/>
      <c r="H705" s="1396"/>
    </row>
    <row r="706" spans="1:9" ht="16.5">
      <c r="A706" s="18" t="s">
        <v>89</v>
      </c>
      <c r="B706" s="34" t="s">
        <v>2351</v>
      </c>
      <c r="C706" s="98">
        <f t="shared" si="50"/>
        <v>5000</v>
      </c>
      <c r="D706" s="99">
        <v>5000</v>
      </c>
      <c r="E706" s="1396"/>
      <c r="F706" s="98">
        <f t="shared" si="52"/>
        <v>2340</v>
      </c>
      <c r="G706" s="99">
        <v>2340</v>
      </c>
      <c r="H706" s="1396"/>
    </row>
    <row r="707" spans="1:9" ht="16.5">
      <c r="A707" s="18" t="s">
        <v>89</v>
      </c>
      <c r="B707" s="34" t="s">
        <v>2352</v>
      </c>
      <c r="C707" s="98">
        <f t="shared" ref="C707:C738" si="53">D707+E707</f>
        <v>598096.68000000005</v>
      </c>
      <c r="D707" s="99">
        <v>598096.68000000005</v>
      </c>
      <c r="E707" s="1396"/>
      <c r="F707" s="98">
        <f t="shared" si="52"/>
        <v>598096.68000000005</v>
      </c>
      <c r="G707" s="99">
        <v>598096.68000000005</v>
      </c>
      <c r="H707" s="1396"/>
    </row>
    <row r="708" spans="1:9" ht="16.5">
      <c r="A708" s="18" t="s">
        <v>91</v>
      </c>
      <c r="B708" s="34" t="s">
        <v>2353</v>
      </c>
      <c r="C708" s="98">
        <f t="shared" si="53"/>
        <v>124823</v>
      </c>
      <c r="D708" s="99">
        <v>14023</v>
      </c>
      <c r="E708" s="1396">
        <v>110800</v>
      </c>
      <c r="F708" s="98">
        <f t="shared" si="52"/>
        <v>124373</v>
      </c>
      <c r="G708" s="99">
        <v>14023</v>
      </c>
      <c r="H708" s="1396">
        <v>110350</v>
      </c>
      <c r="I708" s="10"/>
    </row>
    <row r="709" spans="1:9" ht="16.5">
      <c r="A709" s="18" t="s">
        <v>91</v>
      </c>
      <c r="B709" s="34" t="s">
        <v>2354</v>
      </c>
      <c r="C709" s="98">
        <f t="shared" si="53"/>
        <v>536708</v>
      </c>
      <c r="D709" s="99">
        <v>536708</v>
      </c>
      <c r="E709" s="1396"/>
      <c r="F709" s="98">
        <f t="shared" si="52"/>
        <v>531551.28</v>
      </c>
      <c r="G709" s="99">
        <v>531551.28</v>
      </c>
      <c r="H709" s="1396"/>
    </row>
    <row r="710" spans="1:9" ht="16.5">
      <c r="A710" s="18" t="s">
        <v>201</v>
      </c>
      <c r="B710" s="34" t="s">
        <v>2355</v>
      </c>
      <c r="C710" s="98">
        <f t="shared" si="53"/>
        <v>0</v>
      </c>
      <c r="D710" s="99"/>
      <c r="E710" s="1396"/>
      <c r="F710" s="98">
        <f t="shared" si="52"/>
        <v>0</v>
      </c>
      <c r="G710" s="99"/>
      <c r="H710" s="1396"/>
    </row>
    <row r="711" spans="1:9" ht="16.5">
      <c r="A711" s="18" t="s">
        <v>95</v>
      </c>
      <c r="B711" s="34" t="s">
        <v>2356</v>
      </c>
      <c r="C711" s="98">
        <f t="shared" si="53"/>
        <v>453595</v>
      </c>
      <c r="D711" s="99">
        <v>72600</v>
      </c>
      <c r="E711" s="1396">
        <v>380995</v>
      </c>
      <c r="F711" s="98">
        <f t="shared" si="52"/>
        <v>453000</v>
      </c>
      <c r="G711" s="99">
        <v>72600</v>
      </c>
      <c r="H711" s="1396">
        <v>380400</v>
      </c>
    </row>
    <row r="712" spans="1:9" ht="16.5">
      <c r="A712" s="18" t="s">
        <v>95</v>
      </c>
      <c r="B712" s="34" t="s">
        <v>2347</v>
      </c>
      <c r="C712" s="98">
        <f t="shared" si="53"/>
        <v>1440</v>
      </c>
      <c r="D712" s="99">
        <v>1440</v>
      </c>
      <c r="E712" s="1396"/>
      <c r="F712" s="98">
        <f t="shared" si="52"/>
        <v>838.61</v>
      </c>
      <c r="G712" s="99">
        <v>838.61</v>
      </c>
      <c r="H712" s="1396"/>
    </row>
    <row r="713" spans="1:9" ht="16.5">
      <c r="A713" s="18" t="s">
        <v>97</v>
      </c>
      <c r="B713" s="34" t="s">
        <v>2357</v>
      </c>
      <c r="C713" s="98">
        <f t="shared" si="53"/>
        <v>0</v>
      </c>
      <c r="D713" s="99"/>
      <c r="E713" s="1396"/>
      <c r="F713" s="98">
        <f t="shared" ref="F713:F744" si="54">G713+H713</f>
        <v>0</v>
      </c>
      <c r="G713" s="99"/>
      <c r="H713" s="1396"/>
    </row>
    <row r="714" spans="1:9" ht="16.5">
      <c r="A714" s="18" t="s">
        <v>97</v>
      </c>
      <c r="B714" s="34" t="s">
        <v>2358</v>
      </c>
      <c r="C714" s="98">
        <f t="shared" si="53"/>
        <v>338308.33</v>
      </c>
      <c r="D714" s="99">
        <v>318308.33</v>
      </c>
      <c r="E714" s="1396">
        <v>20000</v>
      </c>
      <c r="F714" s="98">
        <f t="shared" si="54"/>
        <v>336508.37</v>
      </c>
      <c r="G714" s="99">
        <v>317808.37</v>
      </c>
      <c r="H714" s="1396">
        <v>18700</v>
      </c>
    </row>
    <row r="715" spans="1:9" ht="16.5">
      <c r="A715" s="19" t="s">
        <v>100</v>
      </c>
      <c r="B715" s="36" t="s">
        <v>2359</v>
      </c>
      <c r="C715" s="98">
        <f t="shared" si="53"/>
        <v>6377</v>
      </c>
      <c r="D715" s="102">
        <v>6377</v>
      </c>
      <c r="E715" s="1376"/>
      <c r="F715" s="98">
        <f t="shared" si="54"/>
        <v>0</v>
      </c>
      <c r="G715" s="102"/>
      <c r="H715" s="1376"/>
    </row>
    <row r="716" spans="1:9" ht="17.25" thickBot="1">
      <c r="A716" s="19" t="s">
        <v>100</v>
      </c>
      <c r="B716" s="1194" t="s">
        <v>2360</v>
      </c>
      <c r="C716" s="98">
        <f t="shared" si="53"/>
        <v>539769</v>
      </c>
      <c r="D716" s="102">
        <v>397069</v>
      </c>
      <c r="E716" s="1376">
        <v>142700</v>
      </c>
      <c r="F716" s="98">
        <f t="shared" si="54"/>
        <v>538784</v>
      </c>
      <c r="G716" s="102">
        <v>397034</v>
      </c>
      <c r="H716" s="1376">
        <v>141750</v>
      </c>
    </row>
    <row r="717" spans="1:9" ht="17.25" thickBot="1">
      <c r="A717" s="1347" t="s">
        <v>1705</v>
      </c>
      <c r="B717" s="1348" t="s">
        <v>2361</v>
      </c>
      <c r="C717" s="1302">
        <f t="shared" si="53"/>
        <v>1141961.03</v>
      </c>
      <c r="D717" s="1317">
        <f>SUM(D718:D735)</f>
        <v>1141961.03</v>
      </c>
      <c r="E717" s="1317">
        <f>SUM(E718:E735)</f>
        <v>0</v>
      </c>
      <c r="F717" s="1302">
        <f t="shared" si="54"/>
        <v>1132376.79</v>
      </c>
      <c r="G717" s="1317">
        <f>SUM(G718:G735)</f>
        <v>1132376.79</v>
      </c>
      <c r="H717" s="1317"/>
    </row>
    <row r="718" spans="1:9" ht="16.5">
      <c r="A718" s="17" t="s">
        <v>77</v>
      </c>
      <c r="B718" s="34" t="s">
        <v>2362</v>
      </c>
      <c r="C718" s="151">
        <f t="shared" si="53"/>
        <v>731660</v>
      </c>
      <c r="D718" s="96">
        <v>731660</v>
      </c>
      <c r="E718" s="1397"/>
      <c r="F718" s="151">
        <f t="shared" si="54"/>
        <v>731660</v>
      </c>
      <c r="G718" s="96">
        <v>731660</v>
      </c>
      <c r="H718" s="1397"/>
    </row>
    <row r="719" spans="1:9" ht="16.5">
      <c r="A719" s="18" t="s">
        <v>79</v>
      </c>
      <c r="B719" s="34" t="s">
        <v>2363</v>
      </c>
      <c r="C719" s="98">
        <f t="shared" si="53"/>
        <v>14330</v>
      </c>
      <c r="D719" s="99">
        <v>14330</v>
      </c>
      <c r="E719" s="1396"/>
      <c r="F719" s="98">
        <f t="shared" si="54"/>
        <v>14330</v>
      </c>
      <c r="G719" s="99">
        <v>14330</v>
      </c>
      <c r="H719" s="1396"/>
    </row>
    <row r="720" spans="1:9" ht="16.5">
      <c r="A720" s="18" t="s">
        <v>81</v>
      </c>
      <c r="B720" s="34" t="s">
        <v>2364</v>
      </c>
      <c r="C720" s="98">
        <f t="shared" si="53"/>
        <v>213600</v>
      </c>
      <c r="D720" s="99">
        <v>213600</v>
      </c>
      <c r="E720" s="1396"/>
      <c r="F720" s="98">
        <f t="shared" si="54"/>
        <v>207100.54</v>
      </c>
      <c r="G720" s="99">
        <v>207100.54</v>
      </c>
      <c r="H720" s="1396"/>
    </row>
    <row r="721" spans="1:8" ht="16.5">
      <c r="A721" s="18" t="s">
        <v>83</v>
      </c>
      <c r="B721" s="34" t="s">
        <v>2365</v>
      </c>
      <c r="C721" s="98">
        <f t="shared" si="53"/>
        <v>8000</v>
      </c>
      <c r="D721" s="99">
        <v>8000</v>
      </c>
      <c r="E721" s="1396"/>
      <c r="F721" s="98">
        <f t="shared" si="54"/>
        <v>7766.62</v>
      </c>
      <c r="G721" s="99">
        <v>7766.62</v>
      </c>
      <c r="H721" s="1396"/>
    </row>
    <row r="722" spans="1:8" ht="16.5">
      <c r="A722" s="18" t="s">
        <v>83</v>
      </c>
      <c r="B722" s="34" t="s">
        <v>2366</v>
      </c>
      <c r="C722" s="98">
        <f t="shared" si="53"/>
        <v>1000</v>
      </c>
      <c r="D722" s="99">
        <v>1000</v>
      </c>
      <c r="E722" s="1396"/>
      <c r="F722" s="98">
        <f t="shared" si="54"/>
        <v>743.5</v>
      </c>
      <c r="G722" s="99">
        <v>743.5</v>
      </c>
      <c r="H722" s="1396"/>
    </row>
    <row r="723" spans="1:8" ht="16.5">
      <c r="A723" s="18" t="s">
        <v>85</v>
      </c>
      <c r="B723" s="34" t="s">
        <v>898</v>
      </c>
      <c r="C723" s="98">
        <f t="shared" si="53"/>
        <v>14330</v>
      </c>
      <c r="D723" s="99">
        <v>14330</v>
      </c>
      <c r="E723" s="1396"/>
      <c r="F723" s="98">
        <f t="shared" si="54"/>
        <v>14330</v>
      </c>
      <c r="G723" s="99">
        <v>14330</v>
      </c>
      <c r="H723" s="1396"/>
    </row>
    <row r="724" spans="1:8" ht="16.5">
      <c r="A724" s="18" t="s">
        <v>87</v>
      </c>
      <c r="B724" s="34" t="s">
        <v>2367</v>
      </c>
      <c r="C724" s="98">
        <f t="shared" si="53"/>
        <v>0</v>
      </c>
      <c r="D724" s="99"/>
      <c r="E724" s="1396"/>
      <c r="F724" s="98">
        <f t="shared" si="54"/>
        <v>0</v>
      </c>
      <c r="G724" s="99"/>
      <c r="H724" s="1396"/>
    </row>
    <row r="725" spans="1:8" ht="16.5">
      <c r="A725" s="18" t="s">
        <v>25</v>
      </c>
      <c r="B725" s="34" t="s">
        <v>2368</v>
      </c>
      <c r="C725" s="98">
        <f t="shared" si="53"/>
        <v>107615.34</v>
      </c>
      <c r="D725" s="99">
        <v>107615.34</v>
      </c>
      <c r="E725" s="1396"/>
      <c r="F725" s="98">
        <f t="shared" si="54"/>
        <v>107615.34</v>
      </c>
      <c r="G725" s="99">
        <v>107615.34</v>
      </c>
      <c r="H725" s="1396"/>
    </row>
    <row r="726" spans="1:8" ht="16.5">
      <c r="A726" s="18" t="s">
        <v>89</v>
      </c>
      <c r="B726" s="34" t="s">
        <v>2370</v>
      </c>
      <c r="C726" s="98">
        <f t="shared" si="53"/>
        <v>0</v>
      </c>
      <c r="D726" s="99"/>
      <c r="E726" s="1396"/>
      <c r="F726" s="98">
        <f t="shared" si="54"/>
        <v>0</v>
      </c>
      <c r="G726" s="99"/>
      <c r="H726" s="1396"/>
    </row>
    <row r="727" spans="1:8" ht="16.5">
      <c r="A727" s="18" t="s">
        <v>89</v>
      </c>
      <c r="B727" s="34" t="s">
        <v>2369</v>
      </c>
      <c r="C727" s="98">
        <f t="shared" si="53"/>
        <v>0</v>
      </c>
      <c r="D727" s="99"/>
      <c r="E727" s="1396"/>
      <c r="F727" s="98">
        <f t="shared" si="54"/>
        <v>0</v>
      </c>
      <c r="G727" s="99"/>
      <c r="H727" s="1396"/>
    </row>
    <row r="728" spans="1:8" ht="16.5">
      <c r="A728" s="18" t="s">
        <v>91</v>
      </c>
      <c r="B728" s="34" t="s">
        <v>2371</v>
      </c>
      <c r="C728" s="98">
        <f t="shared" si="53"/>
        <v>1290</v>
      </c>
      <c r="D728" s="99">
        <v>1290</v>
      </c>
      <c r="E728" s="1396"/>
      <c r="F728" s="98">
        <f t="shared" si="54"/>
        <v>1290</v>
      </c>
      <c r="G728" s="99">
        <v>1290</v>
      </c>
      <c r="H728" s="1396"/>
    </row>
    <row r="729" spans="1:8" ht="16.5">
      <c r="A729" s="18" t="s">
        <v>91</v>
      </c>
      <c r="B729" s="34" t="s">
        <v>2372</v>
      </c>
      <c r="C729" s="98">
        <f t="shared" si="53"/>
        <v>13988.7</v>
      </c>
      <c r="D729" s="99">
        <v>13988.7</v>
      </c>
      <c r="E729" s="1396"/>
      <c r="F729" s="98">
        <f t="shared" si="54"/>
        <v>13988.7</v>
      </c>
      <c r="G729" s="99">
        <v>13988.7</v>
      </c>
      <c r="H729" s="1396"/>
    </row>
    <row r="730" spans="1:8" ht="16.5">
      <c r="A730" s="18" t="s">
        <v>201</v>
      </c>
      <c r="B730" s="34" t="s">
        <v>2373</v>
      </c>
      <c r="C730" s="98">
        <f t="shared" si="53"/>
        <v>0</v>
      </c>
      <c r="D730" s="99"/>
      <c r="E730" s="1396"/>
      <c r="F730" s="98">
        <f t="shared" si="54"/>
        <v>0</v>
      </c>
      <c r="G730" s="99"/>
      <c r="H730" s="1396"/>
    </row>
    <row r="731" spans="1:8" ht="16.5">
      <c r="A731" s="18" t="s">
        <v>95</v>
      </c>
      <c r="B731" s="34" t="s">
        <v>2374</v>
      </c>
      <c r="C731" s="98">
        <f t="shared" si="53"/>
        <v>1000</v>
      </c>
      <c r="D731" s="99">
        <v>1000</v>
      </c>
      <c r="E731" s="1396"/>
      <c r="F731" s="98">
        <f t="shared" si="54"/>
        <v>24.09</v>
      </c>
      <c r="G731" s="99">
        <v>24.09</v>
      </c>
      <c r="H731" s="1396"/>
    </row>
    <row r="732" spans="1:8" ht="16.5">
      <c r="A732" s="18" t="s">
        <v>95</v>
      </c>
      <c r="B732" s="34" t="s">
        <v>2375</v>
      </c>
      <c r="C732" s="98">
        <f t="shared" si="53"/>
        <v>8000</v>
      </c>
      <c r="D732" s="99">
        <v>8000</v>
      </c>
      <c r="E732" s="1396"/>
      <c r="F732" s="98">
        <f t="shared" si="54"/>
        <v>8000</v>
      </c>
      <c r="G732" s="99">
        <v>8000</v>
      </c>
      <c r="H732" s="1396"/>
    </row>
    <row r="733" spans="1:8" ht="16.5">
      <c r="A733" s="18" t="s">
        <v>97</v>
      </c>
      <c r="B733" s="34" t="s">
        <v>2376</v>
      </c>
      <c r="C733" s="98">
        <f t="shared" si="53"/>
        <v>2146.9899999999998</v>
      </c>
      <c r="D733" s="99">
        <v>2146.9899999999998</v>
      </c>
      <c r="E733" s="1396"/>
      <c r="F733" s="98">
        <f t="shared" si="54"/>
        <v>1900</v>
      </c>
      <c r="G733" s="99">
        <v>1900</v>
      </c>
      <c r="H733" s="1396"/>
    </row>
    <row r="734" spans="1:8" ht="16.5">
      <c r="A734" s="19" t="s">
        <v>100</v>
      </c>
      <c r="B734" s="31" t="s">
        <v>2377</v>
      </c>
      <c r="C734" s="98">
        <f t="shared" si="53"/>
        <v>0</v>
      </c>
      <c r="D734" s="102"/>
      <c r="E734" s="1376"/>
      <c r="F734" s="98">
        <f t="shared" si="54"/>
        <v>0</v>
      </c>
      <c r="G734" s="102"/>
      <c r="H734" s="1376"/>
    </row>
    <row r="735" spans="1:8" ht="17.25" thickBot="1">
      <c r="A735" s="19" t="s">
        <v>100</v>
      </c>
      <c r="B735" s="36" t="s">
        <v>2378</v>
      </c>
      <c r="C735" s="98">
        <f t="shared" si="53"/>
        <v>25000</v>
      </c>
      <c r="D735" s="102">
        <v>25000</v>
      </c>
      <c r="E735" s="1376"/>
      <c r="F735" s="98">
        <f t="shared" si="54"/>
        <v>23628</v>
      </c>
      <c r="G735" s="102">
        <v>23628</v>
      </c>
      <c r="H735" s="1376"/>
    </row>
    <row r="736" spans="1:8" ht="17.25" thickBot="1">
      <c r="A736" s="1349" t="s">
        <v>1722</v>
      </c>
      <c r="B736" s="1350" t="s">
        <v>2379</v>
      </c>
      <c r="C736" s="1302">
        <f t="shared" si="53"/>
        <v>10306787.67</v>
      </c>
      <c r="D736" s="1317">
        <f>SUM(D737:D754)</f>
        <v>10306787.67</v>
      </c>
      <c r="E736" s="1317">
        <f>SUM(E737:E754)</f>
        <v>0</v>
      </c>
      <c r="F736" s="1302">
        <f t="shared" si="54"/>
        <v>10220776.58</v>
      </c>
      <c r="G736" s="1317">
        <f>SUM(G737:G754)</f>
        <v>10220776.58</v>
      </c>
      <c r="H736" s="1317">
        <f>SUM(H737:H754)</f>
        <v>0</v>
      </c>
    </row>
    <row r="737" spans="1:8" ht="16.5">
      <c r="A737" s="17" t="s">
        <v>77</v>
      </c>
      <c r="B737" s="34" t="s">
        <v>2380</v>
      </c>
      <c r="C737" s="151">
        <f t="shared" si="53"/>
        <v>5628205.3700000001</v>
      </c>
      <c r="D737" s="96">
        <v>5628205.3700000001</v>
      </c>
      <c r="E737" s="1397"/>
      <c r="F737" s="151">
        <f t="shared" si="54"/>
        <v>5628204.54</v>
      </c>
      <c r="G737" s="96">
        <v>5628204.54</v>
      </c>
      <c r="H737" s="1397"/>
    </row>
    <row r="738" spans="1:8" ht="16.5">
      <c r="A738" s="18" t="s">
        <v>79</v>
      </c>
      <c r="B738" s="34" t="s">
        <v>2381</v>
      </c>
      <c r="C738" s="98">
        <f t="shared" si="53"/>
        <v>95240</v>
      </c>
      <c r="D738" s="99">
        <v>95240</v>
      </c>
      <c r="E738" s="1396"/>
      <c r="F738" s="98">
        <f t="shared" si="54"/>
        <v>94540.36</v>
      </c>
      <c r="G738" s="99">
        <v>94540.36</v>
      </c>
      <c r="H738" s="1396"/>
    </row>
    <row r="739" spans="1:8" ht="16.5">
      <c r="A739" s="18" t="s">
        <v>81</v>
      </c>
      <c r="B739" s="34" t="s">
        <v>2382</v>
      </c>
      <c r="C739" s="98">
        <f t="shared" ref="C739:C760" si="55">D739+E739</f>
        <v>1827020</v>
      </c>
      <c r="D739" s="99">
        <v>1827020</v>
      </c>
      <c r="E739" s="1396"/>
      <c r="F739" s="98">
        <f t="shared" si="54"/>
        <v>1812350.83</v>
      </c>
      <c r="G739" s="99">
        <v>1812350.83</v>
      </c>
      <c r="H739" s="1396"/>
    </row>
    <row r="740" spans="1:8" ht="16.5">
      <c r="A740" s="18" t="s">
        <v>83</v>
      </c>
      <c r="B740" s="34" t="s">
        <v>2383</v>
      </c>
      <c r="C740" s="98">
        <f t="shared" si="55"/>
        <v>296191.65000000002</v>
      </c>
      <c r="D740" s="99">
        <v>296191.65000000002</v>
      </c>
      <c r="E740" s="1396"/>
      <c r="F740" s="98">
        <f t="shared" si="54"/>
        <v>296126.59000000003</v>
      </c>
      <c r="G740" s="99">
        <v>296126.59000000003</v>
      </c>
      <c r="H740" s="1396"/>
    </row>
    <row r="741" spans="1:8" ht="16.5">
      <c r="A741" s="18" t="s">
        <v>83</v>
      </c>
      <c r="B741" s="34" t="s">
        <v>2384</v>
      </c>
      <c r="C741" s="98">
        <f t="shared" si="55"/>
        <v>2000</v>
      </c>
      <c r="D741" s="99">
        <v>2000</v>
      </c>
      <c r="E741" s="1396"/>
      <c r="F741" s="98">
        <f t="shared" si="54"/>
        <v>2000</v>
      </c>
      <c r="G741" s="99">
        <v>2000</v>
      </c>
      <c r="H741" s="1396"/>
    </row>
    <row r="742" spans="1:8" ht="16.5">
      <c r="A742" s="18" t="s">
        <v>85</v>
      </c>
      <c r="B742" s="34" t="s">
        <v>2385</v>
      </c>
      <c r="C742" s="98">
        <f t="shared" si="55"/>
        <v>97706.8</v>
      </c>
      <c r="D742" s="99">
        <v>97706.8</v>
      </c>
      <c r="E742" s="1396"/>
      <c r="F742" s="98">
        <f t="shared" si="54"/>
        <v>97647.02</v>
      </c>
      <c r="G742" s="99">
        <v>97647.02</v>
      </c>
      <c r="H742" s="1396"/>
    </row>
    <row r="743" spans="1:8" ht="16.5">
      <c r="A743" s="18" t="s">
        <v>87</v>
      </c>
      <c r="B743" s="34" t="s">
        <v>2386</v>
      </c>
      <c r="C743" s="98">
        <f t="shared" si="55"/>
        <v>20000</v>
      </c>
      <c r="D743" s="99">
        <v>20000</v>
      </c>
      <c r="E743" s="1396"/>
      <c r="F743" s="98">
        <f t="shared" si="54"/>
        <v>20000</v>
      </c>
      <c r="G743" s="99">
        <v>20000</v>
      </c>
      <c r="H743" s="1396"/>
    </row>
    <row r="744" spans="1:8" ht="16.5">
      <c r="A744" s="18" t="s">
        <v>25</v>
      </c>
      <c r="B744" s="34" t="s">
        <v>1856</v>
      </c>
      <c r="C744" s="98">
        <f t="shared" si="55"/>
        <v>0</v>
      </c>
      <c r="D744" s="99"/>
      <c r="E744" s="1396"/>
      <c r="F744" s="98">
        <f t="shared" si="54"/>
        <v>0</v>
      </c>
      <c r="G744" s="99"/>
      <c r="H744" s="1396"/>
    </row>
    <row r="745" spans="1:8" ht="16.5">
      <c r="A745" s="18" t="s">
        <v>89</v>
      </c>
      <c r="B745" s="34" t="s">
        <v>1857</v>
      </c>
      <c r="C745" s="98">
        <f t="shared" si="55"/>
        <v>7200</v>
      </c>
      <c r="D745" s="99">
        <v>7200</v>
      </c>
      <c r="E745" s="1396"/>
      <c r="F745" s="98">
        <f t="shared" ref="F745:F770" si="56">G745+H745</f>
        <v>6894</v>
      </c>
      <c r="G745" s="99">
        <v>6894</v>
      </c>
      <c r="H745" s="1396"/>
    </row>
    <row r="746" spans="1:8" ht="16.5">
      <c r="A746" s="18" t="s">
        <v>89</v>
      </c>
      <c r="B746" s="34" t="s">
        <v>1858</v>
      </c>
      <c r="C746" s="98">
        <f t="shared" si="55"/>
        <v>551781.52</v>
      </c>
      <c r="D746" s="99">
        <v>551781.52</v>
      </c>
      <c r="E746" s="1396"/>
      <c r="F746" s="98">
        <f t="shared" si="56"/>
        <v>551781.52</v>
      </c>
      <c r="G746" s="99">
        <v>551781.52</v>
      </c>
      <c r="H746" s="1396"/>
    </row>
    <row r="747" spans="1:8" ht="16.5">
      <c r="A747" s="18" t="s">
        <v>91</v>
      </c>
      <c r="B747" s="34" t="s">
        <v>1859</v>
      </c>
      <c r="C747" s="98">
        <f t="shared" si="55"/>
        <v>199135.24</v>
      </c>
      <c r="D747" s="99">
        <v>199135.24</v>
      </c>
      <c r="E747" s="1396"/>
      <c r="F747" s="98">
        <f t="shared" si="56"/>
        <v>199135.24</v>
      </c>
      <c r="G747" s="99">
        <v>199135.24</v>
      </c>
      <c r="H747" s="1396"/>
    </row>
    <row r="748" spans="1:8" ht="16.5">
      <c r="A748" s="18" t="s">
        <v>91</v>
      </c>
      <c r="B748" s="34" t="s">
        <v>1860</v>
      </c>
      <c r="C748" s="98">
        <f t="shared" si="55"/>
        <v>612401.81999999995</v>
      </c>
      <c r="D748" s="99">
        <v>612401.81999999995</v>
      </c>
      <c r="E748" s="1396"/>
      <c r="F748" s="98">
        <f t="shared" si="56"/>
        <v>594159.4</v>
      </c>
      <c r="G748" s="99">
        <v>594159.4</v>
      </c>
      <c r="H748" s="1396"/>
    </row>
    <row r="749" spans="1:8" ht="16.5">
      <c r="A749" s="18" t="s">
        <v>95</v>
      </c>
      <c r="B749" s="34" t="s">
        <v>1518</v>
      </c>
      <c r="C749" s="98">
        <f t="shared" si="55"/>
        <v>0</v>
      </c>
      <c r="D749" s="99"/>
      <c r="E749" s="1396"/>
      <c r="F749" s="98">
        <f t="shared" si="56"/>
        <v>0</v>
      </c>
      <c r="G749" s="99"/>
      <c r="H749" s="1396"/>
    </row>
    <row r="750" spans="1:8" ht="16.5">
      <c r="A750" s="18" t="s">
        <v>95</v>
      </c>
      <c r="B750" s="34" t="s">
        <v>1852</v>
      </c>
      <c r="C750" s="98">
        <f t="shared" si="55"/>
        <v>1000</v>
      </c>
      <c r="D750" s="99">
        <v>1000</v>
      </c>
      <c r="E750" s="1396"/>
      <c r="F750" s="98">
        <f t="shared" si="56"/>
        <v>823.35</v>
      </c>
      <c r="G750" s="99">
        <v>823.35</v>
      </c>
      <c r="H750" s="1396"/>
    </row>
    <row r="751" spans="1:8" ht="16.5">
      <c r="A751" s="18" t="s">
        <v>95</v>
      </c>
      <c r="B751" s="34" t="s">
        <v>899</v>
      </c>
      <c r="C751" s="98">
        <f t="shared" si="55"/>
        <v>576608.92000000004</v>
      </c>
      <c r="D751" s="99">
        <v>576608.92000000004</v>
      </c>
      <c r="E751" s="1396"/>
      <c r="F751" s="98">
        <f t="shared" si="56"/>
        <v>575872.23</v>
      </c>
      <c r="G751" s="99">
        <v>575872.23</v>
      </c>
      <c r="H751" s="1396"/>
    </row>
    <row r="752" spans="1:8" ht="16.5">
      <c r="A752" s="18" t="s">
        <v>97</v>
      </c>
      <c r="B752" s="34" t="s">
        <v>1853</v>
      </c>
      <c r="C752" s="98">
        <f t="shared" si="55"/>
        <v>0</v>
      </c>
      <c r="D752" s="99"/>
      <c r="E752" s="1396"/>
      <c r="F752" s="98">
        <f t="shared" si="56"/>
        <v>0</v>
      </c>
      <c r="G752" s="99"/>
      <c r="H752" s="1396"/>
    </row>
    <row r="753" spans="1:8" ht="16.5">
      <c r="A753" s="473" t="s">
        <v>100</v>
      </c>
      <c r="B753" s="32" t="s">
        <v>1854</v>
      </c>
      <c r="C753" s="98">
        <f t="shared" si="55"/>
        <v>11078</v>
      </c>
      <c r="D753" s="102">
        <v>11078</v>
      </c>
      <c r="E753" s="1376"/>
      <c r="F753" s="98">
        <f t="shared" si="56"/>
        <v>11078</v>
      </c>
      <c r="G753" s="102">
        <v>11078</v>
      </c>
      <c r="H753" s="1376"/>
    </row>
    <row r="754" spans="1:8" ht="17.25" thickBot="1">
      <c r="A754" s="473" t="s">
        <v>100</v>
      </c>
      <c r="B754" s="32" t="s">
        <v>1855</v>
      </c>
      <c r="C754" s="98">
        <f t="shared" si="55"/>
        <v>381218.35</v>
      </c>
      <c r="D754" s="102">
        <v>381218.35</v>
      </c>
      <c r="E754" s="1376"/>
      <c r="F754" s="98">
        <f t="shared" si="56"/>
        <v>330163.5</v>
      </c>
      <c r="G754" s="102">
        <v>330163.5</v>
      </c>
      <c r="H754" s="1376"/>
    </row>
    <row r="755" spans="1:8" ht="79.5" thickBot="1">
      <c r="A755" s="1315" t="s">
        <v>451</v>
      </c>
      <c r="B755" s="1350" t="s">
        <v>579</v>
      </c>
      <c r="C755" s="1302">
        <f t="shared" si="55"/>
        <v>132900</v>
      </c>
      <c r="D755" s="1301">
        <f>D756</f>
        <v>132900</v>
      </c>
      <c r="E755" s="1317">
        <f>E756</f>
        <v>0</v>
      </c>
      <c r="F755" s="1302">
        <f t="shared" si="56"/>
        <v>0</v>
      </c>
      <c r="G755" s="1317">
        <f>G756</f>
        <v>0</v>
      </c>
      <c r="H755" s="1318">
        <f>H756</f>
        <v>0</v>
      </c>
    </row>
    <row r="756" spans="1:8" ht="17.25" thickBot="1">
      <c r="A756" s="502"/>
      <c r="B756" s="41" t="s">
        <v>578</v>
      </c>
      <c r="C756" s="369">
        <f t="shared" si="55"/>
        <v>132900</v>
      </c>
      <c r="D756" s="121">
        <v>132900</v>
      </c>
      <c r="E756" s="1398"/>
      <c r="F756" s="369">
        <f t="shared" si="56"/>
        <v>0</v>
      </c>
      <c r="G756" s="121"/>
      <c r="H756" s="1398"/>
    </row>
    <row r="757" spans="1:8" ht="52.5" thickBot="1">
      <c r="A757" s="1612" t="s">
        <v>1068</v>
      </c>
      <c r="B757" s="1618" t="s">
        <v>461</v>
      </c>
      <c r="C757" s="1590">
        <f t="shared" si="55"/>
        <v>9795083.9000000004</v>
      </c>
      <c r="D757" s="1591">
        <f>SUM(D758:D760)</f>
        <v>9795083.9000000004</v>
      </c>
      <c r="E757" s="1591">
        <f>E758+E759</f>
        <v>0</v>
      </c>
      <c r="F757" s="1590">
        <f t="shared" si="56"/>
        <v>9761840.5199999996</v>
      </c>
      <c r="G757" s="1591">
        <f>SUM(G758:G760)</f>
        <v>9761840.5199999996</v>
      </c>
      <c r="H757" s="1614">
        <f>H758+H759</f>
        <v>0</v>
      </c>
    </row>
    <row r="758" spans="1:8" ht="16.5">
      <c r="A758" s="1606" t="s">
        <v>77</v>
      </c>
      <c r="B758" s="1598" t="s">
        <v>462</v>
      </c>
      <c r="C758" s="1594">
        <f t="shared" si="55"/>
        <v>7623500</v>
      </c>
      <c r="D758" s="1595">
        <v>7623500</v>
      </c>
      <c r="E758" s="1595"/>
      <c r="F758" s="1594">
        <f t="shared" si="56"/>
        <v>7623500</v>
      </c>
      <c r="G758" s="1596">
        <v>7623500</v>
      </c>
      <c r="H758" s="1595"/>
    </row>
    <row r="759" spans="1:8" ht="16.5">
      <c r="A759" s="1604" t="s">
        <v>81</v>
      </c>
      <c r="B759" s="1598" t="s">
        <v>463</v>
      </c>
      <c r="C759" s="1601">
        <f t="shared" si="55"/>
        <v>1337600</v>
      </c>
      <c r="D759" s="1602">
        <v>1337600</v>
      </c>
      <c r="E759" s="1602"/>
      <c r="F759" s="1601">
        <f t="shared" si="56"/>
        <v>1337600</v>
      </c>
      <c r="G759" s="1603">
        <v>1337600</v>
      </c>
      <c r="H759" s="1602"/>
    </row>
    <row r="760" spans="1:8" ht="17.25" thickBot="1">
      <c r="A760" s="1616" t="s">
        <v>87</v>
      </c>
      <c r="B760" s="1600" t="s">
        <v>464</v>
      </c>
      <c r="C760" s="1601">
        <f t="shared" si="55"/>
        <v>833983.9</v>
      </c>
      <c r="D760" s="1602">
        <v>833983.9</v>
      </c>
      <c r="E760" s="1602"/>
      <c r="F760" s="1601">
        <f t="shared" si="56"/>
        <v>800740.52</v>
      </c>
      <c r="G760" s="1602">
        <v>800740.52</v>
      </c>
      <c r="H760" s="1602"/>
    </row>
    <row r="761" spans="1:8" ht="17.25" thickBot="1">
      <c r="A761" s="1589" t="s">
        <v>577</v>
      </c>
      <c r="B761" s="1352" t="s">
        <v>574</v>
      </c>
      <c r="C761" s="1590">
        <f>D761</f>
        <v>2000000</v>
      </c>
      <c r="D761" s="1591">
        <f>D762+D763</f>
        <v>2000000</v>
      </c>
      <c r="E761" s="1591"/>
      <c r="F761" s="1590">
        <f>G761</f>
        <v>2000000</v>
      </c>
      <c r="G761" s="1591">
        <f>G762+G763</f>
        <v>2000000</v>
      </c>
      <c r="H761" s="1607"/>
    </row>
    <row r="762" spans="1:8" ht="16.5">
      <c r="A762" s="1592"/>
      <c r="B762" s="1698" t="s">
        <v>575</v>
      </c>
      <c r="C762" s="1594">
        <f>D762</f>
        <v>83200</v>
      </c>
      <c r="D762" s="1595">
        <v>83200</v>
      </c>
      <c r="E762" s="1595"/>
      <c r="F762" s="1594">
        <f>G762</f>
        <v>83200</v>
      </c>
      <c r="G762" s="1595">
        <v>83200</v>
      </c>
      <c r="H762" s="1595"/>
    </row>
    <row r="763" spans="1:8" ht="16.5">
      <c r="A763" s="1597"/>
      <c r="B763" s="1570" t="s">
        <v>576</v>
      </c>
      <c r="C763" s="87">
        <f>D763</f>
        <v>1916800</v>
      </c>
      <c r="D763" s="1599">
        <v>1916800</v>
      </c>
      <c r="E763" s="1599"/>
      <c r="F763" s="87">
        <f>G763</f>
        <v>1916800</v>
      </c>
      <c r="G763" s="1599">
        <v>1916800</v>
      </c>
      <c r="H763" s="1599"/>
    </row>
    <row r="764" spans="1:8" ht="52.5" thickBot="1">
      <c r="A764" s="1696" t="s">
        <v>2447</v>
      </c>
      <c r="B764" s="1697" t="s">
        <v>458</v>
      </c>
      <c r="C764" s="1342">
        <f t="shared" ref="C764:C770" si="57">D764+E764</f>
        <v>500000</v>
      </c>
      <c r="D764" s="1346">
        <f>SUM(D765:D766)</f>
        <v>500000</v>
      </c>
      <c r="E764" s="1346">
        <f>SUM(E765:E766)</f>
        <v>0</v>
      </c>
      <c r="F764" s="1342">
        <f t="shared" si="56"/>
        <v>500000</v>
      </c>
      <c r="G764" s="1346">
        <f>SUM(G765:G766)</f>
        <v>500000</v>
      </c>
      <c r="H764" s="1346">
        <f>SUM(H765:H766)</f>
        <v>0</v>
      </c>
    </row>
    <row r="765" spans="1:8" ht="16.5">
      <c r="A765" s="19" t="s">
        <v>97</v>
      </c>
      <c r="B765" s="1107" t="s">
        <v>459</v>
      </c>
      <c r="C765" s="151">
        <f t="shared" si="57"/>
        <v>200701.58</v>
      </c>
      <c r="D765" s="544">
        <v>200701.58</v>
      </c>
      <c r="E765" s="544"/>
      <c r="F765" s="151">
        <f t="shared" si="56"/>
        <v>200701.58</v>
      </c>
      <c r="G765" s="544">
        <v>200701.58</v>
      </c>
      <c r="H765" s="544"/>
    </row>
    <row r="766" spans="1:8" ht="17.25" thickBot="1">
      <c r="A766" s="19" t="s">
        <v>97</v>
      </c>
      <c r="B766" s="1106" t="s">
        <v>460</v>
      </c>
      <c r="C766" s="149">
        <f t="shared" si="57"/>
        <v>299298.42</v>
      </c>
      <c r="D766" s="651">
        <v>299298.42</v>
      </c>
      <c r="E766" s="651"/>
      <c r="F766" s="149">
        <f t="shared" si="56"/>
        <v>299298.42</v>
      </c>
      <c r="G766" s="651">
        <v>299298.42</v>
      </c>
      <c r="H766" s="651"/>
    </row>
    <row r="767" spans="1:8" ht="52.5" thickBot="1">
      <c r="A767" s="1383" t="s">
        <v>369</v>
      </c>
      <c r="B767" s="1387" t="s">
        <v>465</v>
      </c>
      <c r="C767" s="1363">
        <f t="shared" si="57"/>
        <v>3106150</v>
      </c>
      <c r="D767" s="1364">
        <f>SUM(D768:D770)</f>
        <v>3106150</v>
      </c>
      <c r="E767" s="1364">
        <f>SUM(E768:E770)</f>
        <v>0</v>
      </c>
      <c r="F767" s="1363">
        <f t="shared" si="56"/>
        <v>3106140.56</v>
      </c>
      <c r="G767" s="1364">
        <f>SUM(G768:G770)</f>
        <v>3106140.56</v>
      </c>
      <c r="H767" s="1364">
        <f>SUM(H768:H770)</f>
        <v>0</v>
      </c>
    </row>
    <row r="768" spans="1:8" ht="16.5">
      <c r="A768" s="1384"/>
      <c r="B768" s="1388" t="s">
        <v>466</v>
      </c>
      <c r="C768" s="1385">
        <f t="shared" si="57"/>
        <v>2324100</v>
      </c>
      <c r="D768" s="1389">
        <v>2324100</v>
      </c>
      <c r="E768" s="1389"/>
      <c r="F768" s="1385">
        <f t="shared" si="56"/>
        <v>2324090.56</v>
      </c>
      <c r="G768" s="1389">
        <v>2324090.56</v>
      </c>
      <c r="H768" s="1389"/>
    </row>
    <row r="769" spans="1:8" ht="16.5">
      <c r="A769" s="1384"/>
      <c r="B769" s="1388" t="s">
        <v>467</v>
      </c>
      <c r="C769" s="1385">
        <f t="shared" si="57"/>
        <v>701900</v>
      </c>
      <c r="D769" s="1389">
        <v>701900</v>
      </c>
      <c r="E769" s="1389"/>
      <c r="F769" s="1385">
        <f t="shared" si="56"/>
        <v>701900</v>
      </c>
      <c r="G769" s="1389">
        <v>701900</v>
      </c>
      <c r="H769" s="1389"/>
    </row>
    <row r="770" spans="1:8" ht="17.25" thickBot="1">
      <c r="A770" s="1390"/>
      <c r="B770" s="1378" t="s">
        <v>468</v>
      </c>
      <c r="C770" s="1379">
        <f t="shared" si="57"/>
        <v>80150</v>
      </c>
      <c r="D770" s="1380">
        <v>80150</v>
      </c>
      <c r="E770" s="1380"/>
      <c r="F770" s="1379">
        <f t="shared" si="56"/>
        <v>80150</v>
      </c>
      <c r="G770" s="1380">
        <v>80150</v>
      </c>
      <c r="H770" s="1380"/>
    </row>
    <row r="771" spans="1:8" ht="52.5" thickBot="1">
      <c r="A771" s="1434" t="s">
        <v>473</v>
      </c>
      <c r="B771" s="1435" t="s">
        <v>469</v>
      </c>
      <c r="C771" s="150">
        <f>D771</f>
        <v>0</v>
      </c>
      <c r="D771" s="184">
        <f>SUM(D772:D775)</f>
        <v>0</v>
      </c>
      <c r="E771" s="184">
        <f>SUM(E772:E775)</f>
        <v>40010</v>
      </c>
      <c r="F771" s="150">
        <f>G771</f>
        <v>0</v>
      </c>
      <c r="G771" s="184">
        <f>SUM(G772:G775)</f>
        <v>0</v>
      </c>
      <c r="H771" s="184">
        <f>SUM(H772:H775)</f>
        <v>40006.81</v>
      </c>
    </row>
    <row r="772" spans="1:8" ht="16.5">
      <c r="A772" s="474"/>
      <c r="B772" s="1107" t="s">
        <v>470</v>
      </c>
      <c r="C772" s="151">
        <f>D772</f>
        <v>0</v>
      </c>
      <c r="D772" s="544"/>
      <c r="E772" s="544"/>
      <c r="F772" s="151">
        <f>G772</f>
        <v>0</v>
      </c>
      <c r="G772" s="544"/>
      <c r="H772" s="544"/>
    </row>
    <row r="773" spans="1:8" ht="16.5">
      <c r="A773" s="1178"/>
      <c r="B773" s="1107" t="s">
        <v>471</v>
      </c>
      <c r="C773" s="98">
        <f>D773</f>
        <v>0</v>
      </c>
      <c r="D773" s="648"/>
      <c r="E773" s="648"/>
      <c r="F773" s="98">
        <f>G773</f>
        <v>0</v>
      </c>
      <c r="G773" s="648"/>
      <c r="H773" s="648"/>
    </row>
    <row r="774" spans="1:8" ht="16.5">
      <c r="A774" s="1178"/>
      <c r="B774" s="1107" t="s">
        <v>472</v>
      </c>
      <c r="C774" s="98">
        <f>D774</f>
        <v>0</v>
      </c>
      <c r="D774" s="648"/>
      <c r="E774" s="648"/>
      <c r="F774" s="98">
        <f>G774</f>
        <v>0</v>
      </c>
      <c r="G774" s="648"/>
      <c r="H774" s="648"/>
    </row>
    <row r="775" spans="1:8" ht="16.5">
      <c r="A775" s="1178"/>
      <c r="B775" s="1107" t="s">
        <v>600</v>
      </c>
      <c r="C775" s="98">
        <f>D775</f>
        <v>0</v>
      </c>
      <c r="D775" s="648"/>
      <c r="E775" s="648">
        <v>40010</v>
      </c>
      <c r="F775" s="98">
        <f>G775</f>
        <v>0</v>
      </c>
      <c r="G775" s="648"/>
      <c r="H775" s="648">
        <v>40006.81</v>
      </c>
    </row>
    <row r="776" spans="1:8" ht="48" thickBot="1">
      <c r="A776" s="1437" t="s">
        <v>2440</v>
      </c>
      <c r="B776" s="1553" t="s">
        <v>2439</v>
      </c>
      <c r="C776" s="1554">
        <f t="shared" ref="C776:C795" si="58">D776+E776</f>
        <v>8142527.0899999999</v>
      </c>
      <c r="D776" s="1555">
        <f>D777+D799+D796</f>
        <v>8142527.0899999999</v>
      </c>
      <c r="E776" s="1555">
        <f>E777+E799</f>
        <v>0</v>
      </c>
      <c r="F776" s="1554">
        <f t="shared" ref="F776:F795" si="59">G776+H776</f>
        <v>8135563.8300000001</v>
      </c>
      <c r="G776" s="1555">
        <f>G777+G799+G796</f>
        <v>8135563.8300000001</v>
      </c>
      <c r="H776" s="1555">
        <f>H777+H799</f>
        <v>0</v>
      </c>
    </row>
    <row r="777" spans="1:8" ht="63.75" thickBot="1">
      <c r="A777" s="1353" t="s">
        <v>311</v>
      </c>
      <c r="B777" s="1354" t="s">
        <v>2448</v>
      </c>
      <c r="C777" s="1342">
        <f t="shared" si="58"/>
        <v>7195428.9900000002</v>
      </c>
      <c r="D777" s="1322">
        <f>SUM(D778:D795)</f>
        <v>7195428.9900000002</v>
      </c>
      <c r="E777" s="1322">
        <f>SUM(E778:E795)</f>
        <v>0</v>
      </c>
      <c r="F777" s="1342">
        <f t="shared" si="59"/>
        <v>7188466.2200000007</v>
      </c>
      <c r="G777" s="1322">
        <f>SUM(G778:G795)</f>
        <v>7188466.2200000007</v>
      </c>
      <c r="H777" s="1322">
        <f>SUM(H778:H795)</f>
        <v>0</v>
      </c>
    </row>
    <row r="778" spans="1:8" ht="16.5">
      <c r="A778" s="17" t="s">
        <v>77</v>
      </c>
      <c r="B778" s="34" t="s">
        <v>2449</v>
      </c>
      <c r="C778" s="113">
        <f t="shared" si="58"/>
        <v>5052100</v>
      </c>
      <c r="D778" s="96">
        <v>5052100</v>
      </c>
      <c r="E778" s="1397"/>
      <c r="F778" s="113">
        <f t="shared" si="59"/>
        <v>5052100</v>
      </c>
      <c r="G778" s="96">
        <v>5052100</v>
      </c>
      <c r="H778" s="1403"/>
    </row>
    <row r="779" spans="1:8" ht="16.5">
      <c r="A779" s="18" t="s">
        <v>79</v>
      </c>
      <c r="B779" s="31" t="s">
        <v>2450</v>
      </c>
      <c r="C779" s="98">
        <f t="shared" si="58"/>
        <v>16430</v>
      </c>
      <c r="D779" s="99">
        <v>16430</v>
      </c>
      <c r="E779" s="1396"/>
      <c r="F779" s="98">
        <f t="shared" si="59"/>
        <v>16430</v>
      </c>
      <c r="G779" s="99">
        <v>16430</v>
      </c>
      <c r="H779" s="1404"/>
    </row>
    <row r="780" spans="1:8" ht="16.5">
      <c r="A780" s="18" t="s">
        <v>81</v>
      </c>
      <c r="B780" s="31" t="s">
        <v>2451</v>
      </c>
      <c r="C780" s="98">
        <f t="shared" si="58"/>
        <v>1493849</v>
      </c>
      <c r="D780" s="99">
        <v>1493849</v>
      </c>
      <c r="E780" s="1396"/>
      <c r="F780" s="98">
        <f t="shared" si="59"/>
        <v>1486961.98</v>
      </c>
      <c r="G780" s="99">
        <v>1486961.98</v>
      </c>
      <c r="H780" s="1404"/>
    </row>
    <row r="781" spans="1:8" ht="16.5">
      <c r="A781" s="18" t="s">
        <v>83</v>
      </c>
      <c r="B781" s="31" t="s">
        <v>2452</v>
      </c>
      <c r="C781" s="98">
        <f t="shared" si="58"/>
        <v>29927.759999999998</v>
      </c>
      <c r="D781" s="99">
        <v>29927.759999999998</v>
      </c>
      <c r="E781" s="1396"/>
      <c r="F781" s="98">
        <f t="shared" si="59"/>
        <v>29927.759999999998</v>
      </c>
      <c r="G781" s="99">
        <v>29927.759999999998</v>
      </c>
      <c r="H781" s="1404"/>
    </row>
    <row r="782" spans="1:8" ht="16.5">
      <c r="A782" s="18" t="s">
        <v>83</v>
      </c>
      <c r="B782" s="31" t="s">
        <v>2452</v>
      </c>
      <c r="C782" s="98">
        <f t="shared" si="58"/>
        <v>4000</v>
      </c>
      <c r="D782" s="99">
        <v>4000</v>
      </c>
      <c r="E782" s="1396"/>
      <c r="F782" s="98">
        <f t="shared" si="59"/>
        <v>3924.25</v>
      </c>
      <c r="G782" s="99">
        <v>3924.25</v>
      </c>
      <c r="H782" s="1404"/>
    </row>
    <row r="783" spans="1:8" ht="16.5">
      <c r="A783" s="18" t="s">
        <v>85</v>
      </c>
      <c r="B783" s="31" t="s">
        <v>2453</v>
      </c>
      <c r="C783" s="98">
        <f t="shared" si="58"/>
        <v>47040</v>
      </c>
      <c r="D783" s="99">
        <v>47040</v>
      </c>
      <c r="E783" s="1396"/>
      <c r="F783" s="98">
        <f t="shared" si="59"/>
        <v>47040</v>
      </c>
      <c r="G783" s="99">
        <v>47040</v>
      </c>
      <c r="H783" s="1404"/>
    </row>
    <row r="784" spans="1:8" ht="16.5">
      <c r="A784" s="18" t="s">
        <v>87</v>
      </c>
      <c r="B784" s="31" t="s">
        <v>2454</v>
      </c>
      <c r="C784" s="98">
        <f t="shared" si="58"/>
        <v>11000</v>
      </c>
      <c r="D784" s="99">
        <v>11000</v>
      </c>
      <c r="E784" s="1396"/>
      <c r="F784" s="98">
        <f t="shared" si="59"/>
        <v>11000</v>
      </c>
      <c r="G784" s="99">
        <v>11000</v>
      </c>
      <c r="H784" s="1404"/>
    </row>
    <row r="785" spans="1:8" ht="16.5">
      <c r="A785" s="18" t="s">
        <v>25</v>
      </c>
      <c r="B785" s="31" t="s">
        <v>1888</v>
      </c>
      <c r="C785" s="98">
        <f t="shared" si="58"/>
        <v>0</v>
      </c>
      <c r="D785" s="99"/>
      <c r="E785" s="1396"/>
      <c r="F785" s="98">
        <f t="shared" si="59"/>
        <v>0</v>
      </c>
      <c r="G785" s="99"/>
      <c r="H785" s="1404"/>
    </row>
    <row r="786" spans="1:8" ht="16.5">
      <c r="A786" s="18" t="s">
        <v>89</v>
      </c>
      <c r="B786" s="31" t="s">
        <v>1889</v>
      </c>
      <c r="C786" s="98">
        <f t="shared" si="58"/>
        <v>3600</v>
      </c>
      <c r="D786" s="99">
        <v>3600</v>
      </c>
      <c r="E786" s="1396"/>
      <c r="F786" s="98">
        <f t="shared" si="59"/>
        <v>3600</v>
      </c>
      <c r="G786" s="99">
        <v>3600</v>
      </c>
      <c r="H786" s="1404"/>
    </row>
    <row r="787" spans="1:8" ht="16.5">
      <c r="A787" s="18" t="s">
        <v>89</v>
      </c>
      <c r="B787" s="31" t="s">
        <v>1890</v>
      </c>
      <c r="C787" s="98">
        <f t="shared" si="58"/>
        <v>1900</v>
      </c>
      <c r="D787" s="99">
        <v>1900</v>
      </c>
      <c r="E787" s="1396"/>
      <c r="F787" s="98">
        <f t="shared" si="59"/>
        <v>1900</v>
      </c>
      <c r="G787" s="99">
        <v>1900</v>
      </c>
      <c r="H787" s="1404"/>
    </row>
    <row r="788" spans="1:8" ht="16.5">
      <c r="A788" s="18" t="s">
        <v>91</v>
      </c>
      <c r="B788" s="31" t="s">
        <v>1891</v>
      </c>
      <c r="C788" s="98">
        <f t="shared" si="58"/>
        <v>78233.73</v>
      </c>
      <c r="D788" s="99">
        <v>78233.73</v>
      </c>
      <c r="E788" s="1396"/>
      <c r="F788" s="98">
        <f t="shared" si="59"/>
        <v>78233.73</v>
      </c>
      <c r="G788" s="99">
        <v>78233.73</v>
      </c>
      <c r="H788" s="1404"/>
    </row>
    <row r="789" spans="1:8" ht="16.5">
      <c r="A789" s="18" t="s">
        <v>91</v>
      </c>
      <c r="B789" s="31" t="s">
        <v>1892</v>
      </c>
      <c r="C789" s="98">
        <f t="shared" si="58"/>
        <v>114297.47</v>
      </c>
      <c r="D789" s="99">
        <v>114297.47</v>
      </c>
      <c r="E789" s="1396"/>
      <c r="F789" s="98">
        <f t="shared" si="59"/>
        <v>114297.47</v>
      </c>
      <c r="G789" s="99">
        <v>114297.47</v>
      </c>
      <c r="H789" s="1404"/>
    </row>
    <row r="790" spans="1:8" ht="16.5">
      <c r="A790" s="19" t="s">
        <v>95</v>
      </c>
      <c r="B790" s="31" t="s">
        <v>1893</v>
      </c>
      <c r="C790" s="98">
        <f t="shared" si="58"/>
        <v>7227.04</v>
      </c>
      <c r="D790" s="102">
        <v>7227.04</v>
      </c>
      <c r="E790" s="1376"/>
      <c r="F790" s="98">
        <f t="shared" si="59"/>
        <v>7227.04</v>
      </c>
      <c r="G790" s="99">
        <v>7227.04</v>
      </c>
      <c r="H790" s="1405"/>
    </row>
    <row r="791" spans="1:8" ht="16.5">
      <c r="A791" s="19" t="s">
        <v>95</v>
      </c>
      <c r="B791" s="31" t="s">
        <v>1894</v>
      </c>
      <c r="C791" s="98">
        <f t="shared" si="58"/>
        <v>300</v>
      </c>
      <c r="D791" s="102">
        <v>300</v>
      </c>
      <c r="E791" s="1376"/>
      <c r="F791" s="98">
        <f t="shared" si="59"/>
        <v>300</v>
      </c>
      <c r="G791" s="99">
        <v>300</v>
      </c>
      <c r="H791" s="1405"/>
    </row>
    <row r="792" spans="1:8" ht="16.5">
      <c r="A792" s="19"/>
      <c r="B792" s="31" t="s">
        <v>580</v>
      </c>
      <c r="C792" s="98">
        <f t="shared" si="58"/>
        <v>99557.99</v>
      </c>
      <c r="D792" s="102">
        <v>99557.99</v>
      </c>
      <c r="E792" s="1376"/>
      <c r="F792" s="98">
        <f>G792+H792</f>
        <v>99557.99</v>
      </c>
      <c r="G792" s="99">
        <v>99557.99</v>
      </c>
      <c r="H792" s="1405"/>
    </row>
    <row r="793" spans="1:8" ht="16.5">
      <c r="A793" s="19" t="s">
        <v>97</v>
      </c>
      <c r="B793" s="31" t="s">
        <v>1895</v>
      </c>
      <c r="C793" s="98">
        <f t="shared" si="58"/>
        <v>0</v>
      </c>
      <c r="D793" s="102"/>
      <c r="E793" s="1376"/>
      <c r="F793" s="98">
        <f t="shared" si="59"/>
        <v>0</v>
      </c>
      <c r="G793" s="99"/>
      <c r="H793" s="1405"/>
    </row>
    <row r="794" spans="1:8" ht="16.5">
      <c r="A794" s="19" t="s">
        <v>100</v>
      </c>
      <c r="B794" s="32" t="s">
        <v>1896</v>
      </c>
      <c r="C794" s="98">
        <f t="shared" si="58"/>
        <v>40000</v>
      </c>
      <c r="D794" s="102">
        <v>40000</v>
      </c>
      <c r="E794" s="1376"/>
      <c r="F794" s="98">
        <f t="shared" si="59"/>
        <v>40000</v>
      </c>
      <c r="G794" s="102">
        <v>40000</v>
      </c>
      <c r="H794" s="1405"/>
    </row>
    <row r="795" spans="1:8" ht="17.25" thickBot="1">
      <c r="A795" s="19" t="s">
        <v>100</v>
      </c>
      <c r="B795" s="32" t="s">
        <v>1897</v>
      </c>
      <c r="C795" s="113">
        <f t="shared" si="58"/>
        <v>195966</v>
      </c>
      <c r="D795" s="102">
        <v>195966</v>
      </c>
      <c r="E795" s="1376"/>
      <c r="F795" s="113">
        <f t="shared" si="59"/>
        <v>195966</v>
      </c>
      <c r="G795" s="102">
        <v>195966</v>
      </c>
      <c r="H795" s="1405"/>
    </row>
    <row r="796" spans="1:8" ht="52.5" thickBot="1">
      <c r="A796" s="1630" t="s">
        <v>369</v>
      </c>
      <c r="B796" s="1631" t="s">
        <v>478</v>
      </c>
      <c r="C796" s="1674">
        <f>D796</f>
        <v>565800</v>
      </c>
      <c r="D796" s="1633">
        <f>SUM(D797:D798)</f>
        <v>565800</v>
      </c>
      <c r="E796" s="1633"/>
      <c r="F796" s="1674">
        <f>G796</f>
        <v>565799.51</v>
      </c>
      <c r="G796" s="1633">
        <f>SUM(G797:G798)</f>
        <v>565799.51</v>
      </c>
      <c r="H796" s="1675"/>
    </row>
    <row r="797" spans="1:8" ht="16.5">
      <c r="A797" s="1648"/>
      <c r="B797" s="1635" t="s">
        <v>479</v>
      </c>
      <c r="C797" s="1636">
        <f>D797</f>
        <v>434600</v>
      </c>
      <c r="D797" s="1637">
        <v>434600</v>
      </c>
      <c r="E797" s="1637"/>
      <c r="F797" s="1636">
        <f>G797</f>
        <v>434599.51</v>
      </c>
      <c r="G797" s="1637">
        <v>434599.51</v>
      </c>
      <c r="H797" s="1637"/>
    </row>
    <row r="798" spans="1:8" ht="17.25" thickBot="1">
      <c r="A798" s="1634"/>
      <c r="B798" s="1676" t="s">
        <v>480</v>
      </c>
      <c r="C798" s="1677">
        <f>D798</f>
        <v>131200</v>
      </c>
      <c r="D798" s="1645">
        <v>131200</v>
      </c>
      <c r="E798" s="1645"/>
      <c r="F798" s="1677">
        <f>G798</f>
        <v>131200</v>
      </c>
      <c r="G798" s="1645">
        <v>131200</v>
      </c>
      <c r="H798" s="1678"/>
    </row>
    <row r="799" spans="1:8" ht="52.5" thickBot="1">
      <c r="A799" s="1612" t="s">
        <v>1068</v>
      </c>
      <c r="B799" s="1618" t="s">
        <v>474</v>
      </c>
      <c r="C799" s="1590">
        <f>D799+E799</f>
        <v>381298.1</v>
      </c>
      <c r="D799" s="1591">
        <f>SUM(D800:D802)</f>
        <v>381298.1</v>
      </c>
      <c r="E799" s="1591">
        <f>E800+E801</f>
        <v>0</v>
      </c>
      <c r="F799" s="1590">
        <f>G799+H799</f>
        <v>381298.1</v>
      </c>
      <c r="G799" s="1591">
        <f>SUM(G800:G802)</f>
        <v>381298.1</v>
      </c>
      <c r="H799" s="1614">
        <f>H800+H801</f>
        <v>0</v>
      </c>
    </row>
    <row r="800" spans="1:8" ht="16.5">
      <c r="A800" s="1606" t="s">
        <v>77</v>
      </c>
      <c r="B800" s="1598" t="s">
        <v>475</v>
      </c>
      <c r="C800" s="1594">
        <f>D800+E800</f>
        <v>248900</v>
      </c>
      <c r="D800" s="1595">
        <v>248900</v>
      </c>
      <c r="E800" s="1595"/>
      <c r="F800" s="1594">
        <f>G800+H800</f>
        <v>248900</v>
      </c>
      <c r="G800" s="1596">
        <v>248900</v>
      </c>
      <c r="H800" s="1595"/>
    </row>
    <row r="801" spans="1:8" ht="16.5">
      <c r="A801" s="1604" t="s">
        <v>81</v>
      </c>
      <c r="B801" s="1598" t="s">
        <v>476</v>
      </c>
      <c r="C801" s="1601">
        <f>D801+E801</f>
        <v>0</v>
      </c>
      <c r="D801" s="1602"/>
      <c r="E801" s="1602"/>
      <c r="F801" s="1601">
        <f>G801+H801</f>
        <v>0</v>
      </c>
      <c r="G801" s="1603"/>
      <c r="H801" s="1602"/>
    </row>
    <row r="802" spans="1:8" ht="17.25" thickBot="1">
      <c r="A802" s="1616" t="s">
        <v>87</v>
      </c>
      <c r="B802" s="1600" t="s">
        <v>477</v>
      </c>
      <c r="C802" s="1601">
        <f>D802+E802</f>
        <v>132398.1</v>
      </c>
      <c r="D802" s="1602">
        <v>132398.1</v>
      </c>
      <c r="E802" s="1602"/>
      <c r="F802" s="1601">
        <f>G802+H802</f>
        <v>132398.1</v>
      </c>
      <c r="G802" s="1602">
        <v>132398.1</v>
      </c>
      <c r="H802" s="1602"/>
    </row>
    <row r="803" spans="1:8" ht="52.5" thickBot="1">
      <c r="A803" s="1563" t="s">
        <v>483</v>
      </c>
      <c r="B803" s="1564" t="s">
        <v>481</v>
      </c>
      <c r="C803" s="1551">
        <f>D803</f>
        <v>90000</v>
      </c>
      <c r="D803" s="1552">
        <f>D804</f>
        <v>90000</v>
      </c>
      <c r="E803" s="1552"/>
      <c r="F803" s="1551">
        <f>G803</f>
        <v>90000</v>
      </c>
      <c r="G803" s="1552">
        <f>G804</f>
        <v>90000</v>
      </c>
      <c r="H803" s="1565"/>
    </row>
    <row r="804" spans="1:8" ht="16.5">
      <c r="A804" s="1559"/>
      <c r="B804" s="1560" t="s">
        <v>482</v>
      </c>
      <c r="C804" s="1561">
        <f>D804</f>
        <v>90000</v>
      </c>
      <c r="D804" s="1562">
        <v>90000</v>
      </c>
      <c r="E804" s="1562"/>
      <c r="F804" s="1561">
        <f>G804</f>
        <v>90000</v>
      </c>
      <c r="G804" s="1562">
        <v>90000</v>
      </c>
      <c r="H804" s="1562"/>
    </row>
    <row r="805" spans="1:8" ht="17.25" thickBot="1">
      <c r="A805" s="1556" t="s">
        <v>198</v>
      </c>
      <c r="B805" s="1557" t="s">
        <v>199</v>
      </c>
      <c r="C805" s="456">
        <f t="shared" ref="C805:C816" si="60">D805+E805</f>
        <v>15755648.909999998</v>
      </c>
      <c r="D805" s="1558">
        <f>SUM(D806:D819)</f>
        <v>15535498.909999998</v>
      </c>
      <c r="E805" s="1558">
        <f>SUM(E806:E819)</f>
        <v>220150</v>
      </c>
      <c r="F805" s="456">
        <f t="shared" ref="F805:F812" si="61">G805+H805</f>
        <v>14916479.019999998</v>
      </c>
      <c r="G805" s="1558">
        <f>SUM(G806:G819)</f>
        <v>14697063.019999998</v>
      </c>
      <c r="H805" s="1558">
        <f>SUM(H806:H819)</f>
        <v>219416</v>
      </c>
    </row>
    <row r="806" spans="1:8" ht="16.5">
      <c r="A806" s="1247" t="s">
        <v>77</v>
      </c>
      <c r="B806" s="1248" t="s">
        <v>2162</v>
      </c>
      <c r="C806" s="1207">
        <f t="shared" si="60"/>
        <v>1170576.74</v>
      </c>
      <c r="D806" s="1249">
        <f t="shared" ref="D806:E808" si="62">D825+D843</f>
        <v>1170576.74</v>
      </c>
      <c r="E806" s="1249">
        <f t="shared" si="62"/>
        <v>0</v>
      </c>
      <c r="F806" s="1207">
        <f t="shared" si="61"/>
        <v>1170576.74</v>
      </c>
      <c r="G806" s="1249">
        <f t="shared" ref="G806:H808" si="63">G825+G843</f>
        <v>1170576.74</v>
      </c>
      <c r="H806" s="1249">
        <f t="shared" si="63"/>
        <v>0</v>
      </c>
    </row>
    <row r="807" spans="1:8" ht="16.5">
      <c r="A807" s="1188" t="s">
        <v>79</v>
      </c>
      <c r="B807" s="1250" t="s">
        <v>842</v>
      </c>
      <c r="C807" s="291">
        <f t="shared" si="60"/>
        <v>14230</v>
      </c>
      <c r="D807" s="1227">
        <f t="shared" si="62"/>
        <v>14230</v>
      </c>
      <c r="E807" s="1227">
        <f t="shared" si="62"/>
        <v>0</v>
      </c>
      <c r="F807" s="291">
        <f t="shared" si="61"/>
        <v>14230</v>
      </c>
      <c r="G807" s="1227">
        <f t="shared" si="63"/>
        <v>14230</v>
      </c>
      <c r="H807" s="1227">
        <f t="shared" si="63"/>
        <v>0</v>
      </c>
    </row>
    <row r="808" spans="1:8" ht="16.5">
      <c r="A808" s="1188" t="s">
        <v>81</v>
      </c>
      <c r="B808" s="1251" t="s">
        <v>2163</v>
      </c>
      <c r="C808" s="291">
        <f t="shared" si="60"/>
        <v>353514.17000000004</v>
      </c>
      <c r="D808" s="1227">
        <f t="shared" si="62"/>
        <v>353514.17000000004</v>
      </c>
      <c r="E808" s="1227">
        <f t="shared" si="62"/>
        <v>0</v>
      </c>
      <c r="F808" s="291">
        <f t="shared" si="61"/>
        <v>353514.17000000004</v>
      </c>
      <c r="G808" s="1227">
        <f t="shared" si="63"/>
        <v>353514.17000000004</v>
      </c>
      <c r="H808" s="1227">
        <f t="shared" si="63"/>
        <v>0</v>
      </c>
    </row>
    <row r="809" spans="1:8" ht="16.5">
      <c r="A809" s="1188" t="s">
        <v>83</v>
      </c>
      <c r="B809" s="1252" t="s">
        <v>2164</v>
      </c>
      <c r="C809" s="291">
        <f t="shared" si="60"/>
        <v>30344.639999999999</v>
      </c>
      <c r="D809" s="1227">
        <f>D828+D846+D847+D829</f>
        <v>30344.639999999999</v>
      </c>
      <c r="E809" s="1227">
        <f>E828+E846+E847</f>
        <v>0</v>
      </c>
      <c r="F809" s="291">
        <f t="shared" si="61"/>
        <v>30344.639999999999</v>
      </c>
      <c r="G809" s="1227">
        <f>G828+G846+G847+G829</f>
        <v>30344.639999999999</v>
      </c>
      <c r="H809" s="1227">
        <f>H828+H846+H847</f>
        <v>0</v>
      </c>
    </row>
    <row r="810" spans="1:8" ht="16.5">
      <c r="A810" s="1188" t="s">
        <v>85</v>
      </c>
      <c r="B810" s="1252" t="s">
        <v>848</v>
      </c>
      <c r="C810" s="291">
        <f t="shared" si="60"/>
        <v>0</v>
      </c>
      <c r="D810" s="1227">
        <f>D848</f>
        <v>0</v>
      </c>
      <c r="E810" s="1227">
        <f>E848</f>
        <v>0</v>
      </c>
      <c r="F810" s="291">
        <f t="shared" si="61"/>
        <v>0</v>
      </c>
      <c r="G810" s="1227">
        <f>G848</f>
        <v>0</v>
      </c>
      <c r="H810" s="1227">
        <f>H848</f>
        <v>0</v>
      </c>
    </row>
    <row r="811" spans="1:8" ht="16.5">
      <c r="A811" s="1188" t="s">
        <v>87</v>
      </c>
      <c r="B811" s="1252" t="s">
        <v>2153</v>
      </c>
      <c r="C811" s="291">
        <f t="shared" si="60"/>
        <v>13155.279999999999</v>
      </c>
      <c r="D811" s="1227">
        <f>D830+D849</f>
        <v>13155.279999999999</v>
      </c>
      <c r="E811" s="1227">
        <f>E830+E849</f>
        <v>0</v>
      </c>
      <c r="F811" s="291">
        <f t="shared" si="61"/>
        <v>13155.279999999999</v>
      </c>
      <c r="G811" s="1227">
        <f>G830+G849</f>
        <v>13155.279999999999</v>
      </c>
      <c r="H811" s="1227">
        <f>H830+H849</f>
        <v>0</v>
      </c>
    </row>
    <row r="812" spans="1:8" ht="16.5">
      <c r="A812" s="272" t="s">
        <v>25</v>
      </c>
      <c r="B812" s="1252" t="s">
        <v>261</v>
      </c>
      <c r="C812" s="291">
        <f t="shared" si="60"/>
        <v>0</v>
      </c>
      <c r="D812" s="1227">
        <f>D831+D850</f>
        <v>0</v>
      </c>
      <c r="E812" s="1227">
        <f>E831+E850</f>
        <v>0</v>
      </c>
      <c r="F812" s="291">
        <f t="shared" si="61"/>
        <v>0</v>
      </c>
      <c r="G812" s="1227">
        <f>G831+G850</f>
        <v>0</v>
      </c>
      <c r="H812" s="1227">
        <f>H831+H850</f>
        <v>0</v>
      </c>
    </row>
    <row r="813" spans="1:8" ht="16.5">
      <c r="A813" s="1188" t="s">
        <v>89</v>
      </c>
      <c r="B813" s="1252" t="s">
        <v>2097</v>
      </c>
      <c r="C813" s="291">
        <f t="shared" si="60"/>
        <v>0</v>
      </c>
      <c r="D813" s="1227"/>
      <c r="E813" s="1227"/>
      <c r="F813" s="291"/>
      <c r="G813" s="1227"/>
      <c r="H813" s="1227"/>
    </row>
    <row r="814" spans="1:8" ht="16.5">
      <c r="A814" s="1188" t="s">
        <v>91</v>
      </c>
      <c r="B814" s="1251" t="s">
        <v>200</v>
      </c>
      <c r="C814" s="291">
        <f t="shared" si="60"/>
        <v>64143.63</v>
      </c>
      <c r="D814" s="1227">
        <f>D833+D837+D852+D832+D851+D859</f>
        <v>64143.63</v>
      </c>
      <c r="E814" s="1227">
        <f>E833+E837+E852+E832+E851+E859</f>
        <v>0</v>
      </c>
      <c r="F814" s="291">
        <f>G814+H814</f>
        <v>64143.63</v>
      </c>
      <c r="G814" s="1227">
        <f>G833+G837+G852+G832+G851+G859</f>
        <v>64143.63</v>
      </c>
      <c r="H814" s="1227">
        <f>H833+H837+H852+H832+H851+H859</f>
        <v>0</v>
      </c>
    </row>
    <row r="815" spans="1:8" ht="16.5">
      <c r="A815" s="1240" t="s">
        <v>201</v>
      </c>
      <c r="B815" s="1251" t="s">
        <v>202</v>
      </c>
      <c r="C815" s="291">
        <f t="shared" si="60"/>
        <v>11291730.369999999</v>
      </c>
      <c r="D815" s="1227">
        <f>D838</f>
        <v>11291730.369999999</v>
      </c>
      <c r="E815" s="1227">
        <f>E838</f>
        <v>0</v>
      </c>
      <c r="F815" s="291">
        <f>G815+H815</f>
        <v>11291730.369999999</v>
      </c>
      <c r="G815" s="1227">
        <f>G838</f>
        <v>11291730.369999999</v>
      </c>
      <c r="H815" s="1227">
        <f>H838</f>
        <v>0</v>
      </c>
    </row>
    <row r="816" spans="1:8" ht="39">
      <c r="A816" s="1206" t="s">
        <v>203</v>
      </c>
      <c r="B816" s="1251" t="s">
        <v>204</v>
      </c>
      <c r="C816" s="291">
        <f t="shared" si="60"/>
        <v>1278948.9099999999</v>
      </c>
      <c r="D816" s="1227">
        <f>D821+D822</f>
        <v>1058798.9099999999</v>
      </c>
      <c r="E816" s="1227">
        <f>E821+E822</f>
        <v>220150</v>
      </c>
      <c r="F816" s="291">
        <f>G816+H816</f>
        <v>1278214.9099999999</v>
      </c>
      <c r="G816" s="1227">
        <f>G821+G822</f>
        <v>1058798.9099999999</v>
      </c>
      <c r="H816" s="1227">
        <f>H821+H822</f>
        <v>219416</v>
      </c>
    </row>
    <row r="817" spans="1:8" ht="16.5">
      <c r="A817" s="1188" t="s">
        <v>95</v>
      </c>
      <c r="B817" s="1251" t="s">
        <v>121</v>
      </c>
      <c r="C817" s="291">
        <f>E817</f>
        <v>0</v>
      </c>
      <c r="D817" s="1227">
        <f>D853+D860</f>
        <v>20000</v>
      </c>
      <c r="E817" s="1227">
        <f>E853+E860</f>
        <v>0</v>
      </c>
      <c r="F817" s="291">
        <f>H817</f>
        <v>0</v>
      </c>
      <c r="G817" s="1227">
        <f>G853+G860</f>
        <v>20000</v>
      </c>
      <c r="H817" s="1227">
        <f>H853+H860</f>
        <v>0</v>
      </c>
    </row>
    <row r="818" spans="1:8" ht="16.5">
      <c r="A818" s="1242" t="s">
        <v>97</v>
      </c>
      <c r="B818" s="1251" t="s">
        <v>2165</v>
      </c>
      <c r="C818" s="291">
        <f t="shared" ref="C818:C835" si="64">D818+E818</f>
        <v>18614.669999999998</v>
      </c>
      <c r="D818" s="1227">
        <f>D854+D855</f>
        <v>18614.669999999998</v>
      </c>
      <c r="E818" s="1227">
        <f>E834+E854+E855</f>
        <v>0</v>
      </c>
      <c r="F818" s="291">
        <f t="shared" ref="F818:F863" si="65">G818+H818</f>
        <v>18614.669999999998</v>
      </c>
      <c r="G818" s="1227">
        <f>G854+G855</f>
        <v>18614.669999999998</v>
      </c>
      <c r="H818" s="1227">
        <f>H834+H854+H855</f>
        <v>0</v>
      </c>
    </row>
    <row r="819" spans="1:8" ht="17.25" thickBot="1">
      <c r="A819" s="1253" t="s">
        <v>100</v>
      </c>
      <c r="B819" s="1254" t="s">
        <v>2156</v>
      </c>
      <c r="C819" s="1230">
        <f t="shared" si="64"/>
        <v>1500390.5</v>
      </c>
      <c r="D819" s="1231">
        <f>D834+D840+D856+D857+D861+D835</f>
        <v>1500390.5</v>
      </c>
      <c r="E819" s="1231">
        <f>E835+E840+E856+E857+E861</f>
        <v>0</v>
      </c>
      <c r="F819" s="1230">
        <f t="shared" si="65"/>
        <v>661954.61</v>
      </c>
      <c r="G819" s="1231">
        <f>G834+G840+G856+G857+G861+G835</f>
        <v>661954.61</v>
      </c>
      <c r="H819" s="1231">
        <f>H835+H840+H856+H857+H861</f>
        <v>0</v>
      </c>
    </row>
    <row r="820" spans="1:8" ht="17.25" thickBot="1">
      <c r="A820" s="1289" t="s">
        <v>205</v>
      </c>
      <c r="B820" s="1285" t="s">
        <v>2250</v>
      </c>
      <c r="C820" s="1280">
        <f t="shared" si="64"/>
        <v>1278948.9099999999</v>
      </c>
      <c r="D820" s="1274">
        <f>D821+D822</f>
        <v>1058798.9099999999</v>
      </c>
      <c r="E820" s="1274">
        <f>E821+E822</f>
        <v>220150</v>
      </c>
      <c r="F820" s="1280">
        <f t="shared" si="65"/>
        <v>1278214.9099999999</v>
      </c>
      <c r="G820" s="1274">
        <f>G821+G822</f>
        <v>1058798.9099999999</v>
      </c>
      <c r="H820" s="1274">
        <f>H821+H822</f>
        <v>219416</v>
      </c>
    </row>
    <row r="821" spans="1:8" ht="51.75">
      <c r="A821" s="278" t="s">
        <v>2095</v>
      </c>
      <c r="B821" s="36" t="s">
        <v>2463</v>
      </c>
      <c r="C821" s="113">
        <f t="shared" si="64"/>
        <v>0</v>
      </c>
      <c r="D821" s="1112"/>
      <c r="E821" s="1169"/>
      <c r="F821" s="113">
        <f t="shared" si="65"/>
        <v>0</v>
      </c>
      <c r="G821" s="739"/>
      <c r="H821" s="1169"/>
    </row>
    <row r="822" spans="1:8" ht="52.5" thickBot="1">
      <c r="A822" s="473" t="s">
        <v>2095</v>
      </c>
      <c r="B822" s="515" t="s">
        <v>1898</v>
      </c>
      <c r="C822" s="610">
        <f t="shared" si="64"/>
        <v>1278948.9099999999</v>
      </c>
      <c r="D822" s="102">
        <v>1058798.9099999999</v>
      </c>
      <c r="E822" s="1376">
        <v>220150</v>
      </c>
      <c r="F822" s="610">
        <f t="shared" si="65"/>
        <v>1278214.9099999999</v>
      </c>
      <c r="G822" s="115">
        <v>1058798.9099999999</v>
      </c>
      <c r="H822" s="1376">
        <v>219416</v>
      </c>
    </row>
    <row r="823" spans="1:8" ht="17.25" thickBot="1">
      <c r="A823" s="1277" t="s">
        <v>208</v>
      </c>
      <c r="B823" s="1290" t="s">
        <v>2441</v>
      </c>
      <c r="C823" s="1280">
        <f t="shared" si="64"/>
        <v>13610000</v>
      </c>
      <c r="D823" s="1270">
        <f>D824+D836+D839</f>
        <v>13610000</v>
      </c>
      <c r="E823" s="1270"/>
      <c r="F823" s="1280">
        <f t="shared" si="65"/>
        <v>12771564.109999999</v>
      </c>
      <c r="G823" s="1287">
        <f>G824+G836+G839</f>
        <v>12771564.109999999</v>
      </c>
      <c r="H823" s="1275"/>
    </row>
    <row r="824" spans="1:8" ht="111" thickBot="1">
      <c r="A824" s="1355" t="s">
        <v>2396</v>
      </c>
      <c r="B824" s="1336" t="s">
        <v>484</v>
      </c>
      <c r="C824" s="1337">
        <f t="shared" si="64"/>
        <v>800100</v>
      </c>
      <c r="D824" s="1338">
        <f>SUM(D825:D835)</f>
        <v>800100</v>
      </c>
      <c r="E824" s="1338"/>
      <c r="F824" s="1337">
        <f t="shared" si="65"/>
        <v>800100</v>
      </c>
      <c r="G824" s="1338">
        <f>SUM(G825:G835)</f>
        <v>800100</v>
      </c>
      <c r="H824" s="1356">
        <f>SUM(H825:H827)</f>
        <v>0</v>
      </c>
    </row>
    <row r="825" spans="1:8" ht="16.5">
      <c r="A825" s="503" t="s">
        <v>77</v>
      </c>
      <c r="B825" s="31" t="s">
        <v>485</v>
      </c>
      <c r="C825" s="98">
        <f t="shared" si="64"/>
        <v>585253.46</v>
      </c>
      <c r="D825" s="111">
        <v>585253.46</v>
      </c>
      <c r="E825" s="1401"/>
      <c r="F825" s="98">
        <f t="shared" si="65"/>
        <v>585253.46</v>
      </c>
      <c r="G825" s="111">
        <v>585253.46</v>
      </c>
      <c r="H825" s="1401"/>
    </row>
    <row r="826" spans="1:8" ht="16.5">
      <c r="A826" s="9" t="s">
        <v>79</v>
      </c>
      <c r="B826" s="31" t="s">
        <v>486</v>
      </c>
      <c r="C826" s="98">
        <f t="shared" si="64"/>
        <v>0</v>
      </c>
      <c r="D826" s="111"/>
      <c r="E826" s="1401"/>
      <c r="F826" s="98">
        <f t="shared" si="65"/>
        <v>0</v>
      </c>
      <c r="G826" s="111"/>
      <c r="H826" s="1401"/>
    </row>
    <row r="827" spans="1:8" ht="16.5">
      <c r="A827" s="9" t="s">
        <v>81</v>
      </c>
      <c r="B827" s="505" t="s">
        <v>487</v>
      </c>
      <c r="C827" s="98">
        <f t="shared" si="64"/>
        <v>176746.54</v>
      </c>
      <c r="D827" s="111">
        <v>176746.54</v>
      </c>
      <c r="E827" s="1401"/>
      <c r="F827" s="98">
        <f t="shared" si="65"/>
        <v>176746.54</v>
      </c>
      <c r="G827" s="111">
        <v>176746.54</v>
      </c>
      <c r="H827" s="1401"/>
    </row>
    <row r="828" spans="1:8" ht="16.5">
      <c r="A828" s="9" t="s">
        <v>83</v>
      </c>
      <c r="B828" s="505" t="s">
        <v>488</v>
      </c>
      <c r="C828" s="98">
        <f t="shared" si="64"/>
        <v>15086.22</v>
      </c>
      <c r="D828" s="111">
        <v>15086.22</v>
      </c>
      <c r="E828" s="1401"/>
      <c r="F828" s="98">
        <f t="shared" si="65"/>
        <v>15086.22</v>
      </c>
      <c r="G828" s="111">
        <v>15086.22</v>
      </c>
      <c r="H828" s="1401"/>
    </row>
    <row r="829" spans="1:8" ht="16.5">
      <c r="A829" s="9" t="s">
        <v>83</v>
      </c>
      <c r="B829" s="505" t="s">
        <v>489</v>
      </c>
      <c r="C829" s="98">
        <f t="shared" si="64"/>
        <v>1900</v>
      </c>
      <c r="D829" s="111">
        <v>1900</v>
      </c>
      <c r="E829" s="1401"/>
      <c r="F829" s="98">
        <f t="shared" si="65"/>
        <v>1900</v>
      </c>
      <c r="G829" s="111">
        <v>1900</v>
      </c>
      <c r="H829" s="1401"/>
    </row>
    <row r="830" spans="1:8" ht="16.5">
      <c r="A830" s="1178" t="s">
        <v>87</v>
      </c>
      <c r="B830" s="505" t="s">
        <v>490</v>
      </c>
      <c r="C830" s="98">
        <f t="shared" si="64"/>
        <v>6062.28</v>
      </c>
      <c r="D830" s="111">
        <v>6062.28</v>
      </c>
      <c r="E830" s="1401"/>
      <c r="F830" s="98">
        <f t="shared" si="65"/>
        <v>6062.28</v>
      </c>
      <c r="G830" s="111">
        <v>6062.28</v>
      </c>
      <c r="H830" s="1401"/>
    </row>
    <row r="831" spans="1:8" ht="16.5">
      <c r="A831" s="18" t="s">
        <v>25</v>
      </c>
      <c r="B831" s="505" t="s">
        <v>491</v>
      </c>
      <c r="C831" s="98">
        <f t="shared" si="64"/>
        <v>0</v>
      </c>
      <c r="D831" s="111"/>
      <c r="E831" s="1401"/>
      <c r="F831" s="98">
        <f t="shared" si="65"/>
        <v>0</v>
      </c>
      <c r="G831" s="111"/>
      <c r="H831" s="1401"/>
    </row>
    <row r="832" spans="1:8" ht="16.5">
      <c r="A832" s="9" t="s">
        <v>91</v>
      </c>
      <c r="B832" s="505" t="s">
        <v>492</v>
      </c>
      <c r="C832" s="98">
        <f t="shared" si="64"/>
        <v>5110</v>
      </c>
      <c r="D832" s="111">
        <v>5110</v>
      </c>
      <c r="E832" s="1401"/>
      <c r="F832" s="98">
        <f t="shared" si="65"/>
        <v>5110</v>
      </c>
      <c r="G832" s="111">
        <v>5110</v>
      </c>
      <c r="H832" s="1401"/>
    </row>
    <row r="833" spans="1:8" ht="16.5">
      <c r="A833" s="9" t="s">
        <v>91</v>
      </c>
      <c r="B833" s="505" t="s">
        <v>493</v>
      </c>
      <c r="C833" s="98">
        <f t="shared" si="64"/>
        <v>0</v>
      </c>
      <c r="D833" s="111"/>
      <c r="E833" s="1401"/>
      <c r="F833" s="98">
        <f t="shared" si="65"/>
        <v>0</v>
      </c>
      <c r="G833" s="111"/>
      <c r="H833" s="1401"/>
    </row>
    <row r="834" spans="1:8" ht="17.25" thickBot="1">
      <c r="A834" s="579" t="s">
        <v>100</v>
      </c>
      <c r="B834" s="505" t="s">
        <v>494</v>
      </c>
      <c r="C834" s="98">
        <f t="shared" si="64"/>
        <v>7192</v>
      </c>
      <c r="D834" s="111">
        <v>7192</v>
      </c>
      <c r="E834" s="1401"/>
      <c r="F834" s="98">
        <f t="shared" si="65"/>
        <v>7192</v>
      </c>
      <c r="G834" s="111">
        <v>7192</v>
      </c>
      <c r="H834" s="1401"/>
    </row>
    <row r="835" spans="1:8" ht="17.25" thickBot="1">
      <c r="A835" s="579" t="s">
        <v>100</v>
      </c>
      <c r="B835" s="501" t="s">
        <v>495</v>
      </c>
      <c r="C835" s="151">
        <f t="shared" si="64"/>
        <v>2749.5</v>
      </c>
      <c r="D835" s="122">
        <v>2749.5</v>
      </c>
      <c r="E835" s="1169"/>
      <c r="F835" s="151">
        <f t="shared" si="65"/>
        <v>2749.5</v>
      </c>
      <c r="G835" s="122">
        <v>2749.5</v>
      </c>
      <c r="H835" s="1418"/>
    </row>
    <row r="836" spans="1:8" ht="48" thickBot="1">
      <c r="A836" s="1332" t="s">
        <v>2096</v>
      </c>
      <c r="B836" s="1333" t="s">
        <v>496</v>
      </c>
      <c r="C836" s="1307">
        <f>SUM(C837:C838)</f>
        <v>22583460.739999998</v>
      </c>
      <c r="D836" s="1301">
        <f>SUM(D837:D838)</f>
        <v>11341100</v>
      </c>
      <c r="E836" s="1301"/>
      <c r="F836" s="1307">
        <f t="shared" si="65"/>
        <v>11341100</v>
      </c>
      <c r="G836" s="1331">
        <f>SUM(G837:G838)</f>
        <v>11341100</v>
      </c>
      <c r="H836" s="1303">
        <f>H838</f>
        <v>0</v>
      </c>
    </row>
    <row r="837" spans="1:8" ht="16.5">
      <c r="A837" s="503" t="s">
        <v>91</v>
      </c>
      <c r="B837" s="357" t="s">
        <v>497</v>
      </c>
      <c r="C837" s="770">
        <f>C838</f>
        <v>11291730.369999999</v>
      </c>
      <c r="D837" s="96">
        <v>49369.63</v>
      </c>
      <c r="E837" s="1174"/>
      <c r="F837" s="599">
        <f t="shared" si="65"/>
        <v>49369.63</v>
      </c>
      <c r="G837" s="109">
        <v>49369.63</v>
      </c>
      <c r="H837" s="1419"/>
    </row>
    <row r="838" spans="1:8" ht="17.25" thickBot="1">
      <c r="A838" s="502" t="s">
        <v>201</v>
      </c>
      <c r="B838" s="43" t="s">
        <v>498</v>
      </c>
      <c r="C838" s="151">
        <f t="shared" ref="C838:C871" si="66">D838+E838</f>
        <v>11291730.369999999</v>
      </c>
      <c r="D838" s="99">
        <v>11291730.369999999</v>
      </c>
      <c r="E838" s="1401"/>
      <c r="F838" s="151">
        <f t="shared" si="65"/>
        <v>11291730.369999999</v>
      </c>
      <c r="G838" s="111">
        <v>11291730.369999999</v>
      </c>
      <c r="H838" s="1418"/>
    </row>
    <row r="839" spans="1:8" ht="79.5" thickBot="1">
      <c r="A839" s="1355" t="s">
        <v>2395</v>
      </c>
      <c r="B839" s="1357" t="s">
        <v>499</v>
      </c>
      <c r="C839" s="1307">
        <f t="shared" si="66"/>
        <v>1468800</v>
      </c>
      <c r="D839" s="1322">
        <f>D840</f>
        <v>1468800</v>
      </c>
      <c r="E839" s="1322">
        <f>E840</f>
        <v>0</v>
      </c>
      <c r="F839" s="1307">
        <f t="shared" si="65"/>
        <v>630364.11</v>
      </c>
      <c r="G839" s="1343">
        <f>G840</f>
        <v>630364.11</v>
      </c>
      <c r="H839" s="1303">
        <f>H840</f>
        <v>0</v>
      </c>
    </row>
    <row r="840" spans="1:8" ht="17.25" thickBot="1">
      <c r="A840" s="473" t="s">
        <v>100</v>
      </c>
      <c r="B840" s="609" t="s">
        <v>500</v>
      </c>
      <c r="C840" s="95">
        <f t="shared" si="66"/>
        <v>1468800</v>
      </c>
      <c r="D840" s="436">
        <v>1468800</v>
      </c>
      <c r="E840" s="1265"/>
      <c r="F840" s="435">
        <f t="shared" si="65"/>
        <v>630364.11</v>
      </c>
      <c r="G840" s="385">
        <v>630364.11</v>
      </c>
      <c r="H840" s="1265"/>
    </row>
    <row r="841" spans="1:8" ht="17.25" thickBot="1">
      <c r="A841" s="1277" t="s">
        <v>2443</v>
      </c>
      <c r="B841" s="1269" t="s">
        <v>2442</v>
      </c>
      <c r="C841" s="1532">
        <f t="shared" si="66"/>
        <v>866700.00000000012</v>
      </c>
      <c r="D841" s="1533">
        <f>D842+D858</f>
        <v>866700.00000000012</v>
      </c>
      <c r="E841" s="1533">
        <f>E842+E858</f>
        <v>0</v>
      </c>
      <c r="F841" s="1532">
        <f t="shared" si="65"/>
        <v>866700.00000000012</v>
      </c>
      <c r="G841" s="1533">
        <f>G842+G858</f>
        <v>866700.00000000012</v>
      </c>
      <c r="H841" s="1534">
        <f>H842+H858</f>
        <v>0</v>
      </c>
    </row>
    <row r="842" spans="1:8" ht="142.5" thickBot="1">
      <c r="A842" s="1332" t="s">
        <v>2263</v>
      </c>
      <c r="B842" s="1333" t="s">
        <v>501</v>
      </c>
      <c r="C842" s="1307">
        <f t="shared" si="66"/>
        <v>838300.00000000012</v>
      </c>
      <c r="D842" s="1301">
        <f>SUM(D843:D857)</f>
        <v>838300.00000000012</v>
      </c>
      <c r="E842" s="1301">
        <f>SUM(E843:E855)</f>
        <v>0</v>
      </c>
      <c r="F842" s="1307">
        <f t="shared" si="65"/>
        <v>838300.00000000012</v>
      </c>
      <c r="G842" s="1331">
        <f>SUM(G843:G857)</f>
        <v>838300.00000000012</v>
      </c>
      <c r="H842" s="1303">
        <f>SUM(H843:H855)</f>
        <v>0</v>
      </c>
    </row>
    <row r="843" spans="1:8" ht="16.5">
      <c r="A843" s="503" t="s">
        <v>77</v>
      </c>
      <c r="B843" s="357" t="s">
        <v>502</v>
      </c>
      <c r="C843" s="113">
        <f t="shared" si="66"/>
        <v>585323.28</v>
      </c>
      <c r="D843" s="122">
        <v>585323.28</v>
      </c>
      <c r="E843" s="1169"/>
      <c r="F843" s="113">
        <f t="shared" si="65"/>
        <v>585323.28</v>
      </c>
      <c r="G843" s="122">
        <v>585323.28</v>
      </c>
      <c r="H843" s="1418"/>
    </row>
    <row r="844" spans="1:8" ht="16.5">
      <c r="A844" s="9" t="s">
        <v>79</v>
      </c>
      <c r="B844" s="43" t="s">
        <v>503</v>
      </c>
      <c r="C844" s="98">
        <f t="shared" si="66"/>
        <v>14230</v>
      </c>
      <c r="D844" s="111">
        <v>14230</v>
      </c>
      <c r="E844" s="1401"/>
      <c r="F844" s="98">
        <f t="shared" si="65"/>
        <v>14230</v>
      </c>
      <c r="G844" s="111">
        <v>14230</v>
      </c>
      <c r="H844" s="1401"/>
    </row>
    <row r="845" spans="1:8" ht="16.5">
      <c r="A845" s="9" t="s">
        <v>81</v>
      </c>
      <c r="B845" s="43" t="s">
        <v>504</v>
      </c>
      <c r="C845" s="98">
        <f t="shared" si="66"/>
        <v>176767.63</v>
      </c>
      <c r="D845" s="109">
        <v>176767.63</v>
      </c>
      <c r="E845" s="1174"/>
      <c r="F845" s="98">
        <f t="shared" si="65"/>
        <v>176767.63</v>
      </c>
      <c r="G845" s="109">
        <v>176767.63</v>
      </c>
      <c r="H845" s="1419"/>
    </row>
    <row r="846" spans="1:8" ht="16.5">
      <c r="A846" s="9" t="s">
        <v>83</v>
      </c>
      <c r="B846" s="43" t="s">
        <v>505</v>
      </c>
      <c r="C846" s="98">
        <f t="shared" si="66"/>
        <v>12408.42</v>
      </c>
      <c r="D846" s="109">
        <v>12408.42</v>
      </c>
      <c r="E846" s="1174"/>
      <c r="F846" s="98">
        <f t="shared" si="65"/>
        <v>12408.42</v>
      </c>
      <c r="G846" s="109">
        <v>12408.42</v>
      </c>
      <c r="H846" s="1419"/>
    </row>
    <row r="847" spans="1:8" ht="16.5">
      <c r="A847" s="9" t="s">
        <v>83</v>
      </c>
      <c r="B847" s="43" t="s">
        <v>506</v>
      </c>
      <c r="C847" s="98">
        <f t="shared" si="66"/>
        <v>950</v>
      </c>
      <c r="D847" s="109">
        <v>950</v>
      </c>
      <c r="E847" s="1174"/>
      <c r="F847" s="98">
        <f t="shared" si="65"/>
        <v>950</v>
      </c>
      <c r="G847" s="109">
        <v>950</v>
      </c>
      <c r="H847" s="1419"/>
    </row>
    <row r="848" spans="1:8" ht="16.5">
      <c r="A848" s="9" t="s">
        <v>85</v>
      </c>
      <c r="B848" s="43" t="s">
        <v>507</v>
      </c>
      <c r="C848" s="98">
        <f t="shared" si="66"/>
        <v>0</v>
      </c>
      <c r="D848" s="109"/>
      <c r="E848" s="1174"/>
      <c r="F848" s="98">
        <f t="shared" si="65"/>
        <v>0</v>
      </c>
      <c r="G848" s="109"/>
      <c r="H848" s="1419"/>
    </row>
    <row r="849" spans="1:8" ht="16.5">
      <c r="A849" s="9" t="s">
        <v>87</v>
      </c>
      <c r="B849" s="43" t="s">
        <v>508</v>
      </c>
      <c r="C849" s="98">
        <f t="shared" si="66"/>
        <v>7093</v>
      </c>
      <c r="D849" s="109">
        <v>7093</v>
      </c>
      <c r="E849" s="1174"/>
      <c r="F849" s="98">
        <f t="shared" si="65"/>
        <v>7093</v>
      </c>
      <c r="G849" s="109">
        <v>7093</v>
      </c>
      <c r="H849" s="1419"/>
    </row>
    <row r="850" spans="1:8" ht="16.5">
      <c r="A850" s="9" t="s">
        <v>89</v>
      </c>
      <c r="B850" s="43" t="s">
        <v>509</v>
      </c>
      <c r="C850" s="98">
        <f t="shared" si="66"/>
        <v>0</v>
      </c>
      <c r="D850" s="109"/>
      <c r="E850" s="1174"/>
      <c r="F850" s="98">
        <f t="shared" si="65"/>
        <v>0</v>
      </c>
      <c r="G850" s="109"/>
      <c r="H850" s="1419"/>
    </row>
    <row r="851" spans="1:8" ht="16.5">
      <c r="A851" s="9" t="s">
        <v>91</v>
      </c>
      <c r="B851" s="43" t="s">
        <v>510</v>
      </c>
      <c r="C851" s="98">
        <f t="shared" si="66"/>
        <v>6064</v>
      </c>
      <c r="D851" s="109">
        <v>6064</v>
      </c>
      <c r="E851" s="1174"/>
      <c r="F851" s="98">
        <f t="shared" si="65"/>
        <v>6064</v>
      </c>
      <c r="G851" s="109">
        <v>6064</v>
      </c>
      <c r="H851" s="1419"/>
    </row>
    <row r="852" spans="1:8" ht="16.5">
      <c r="A852" s="9" t="s">
        <v>91</v>
      </c>
      <c r="B852" s="43" t="s">
        <v>511</v>
      </c>
      <c r="C852" s="98">
        <f t="shared" si="66"/>
        <v>3600</v>
      </c>
      <c r="D852" s="109">
        <v>3600</v>
      </c>
      <c r="E852" s="1174"/>
      <c r="F852" s="98">
        <f t="shared" si="65"/>
        <v>3600</v>
      </c>
      <c r="G852" s="109">
        <v>3600</v>
      </c>
      <c r="H852" s="1419"/>
    </row>
    <row r="853" spans="1:8" ht="16.5">
      <c r="A853" s="9" t="s">
        <v>95</v>
      </c>
      <c r="B853" s="43" t="s">
        <v>512</v>
      </c>
      <c r="C853" s="98">
        <f t="shared" si="66"/>
        <v>0</v>
      </c>
      <c r="D853" s="111"/>
      <c r="E853" s="1401"/>
      <c r="F853" s="98">
        <f t="shared" si="65"/>
        <v>0</v>
      </c>
      <c r="G853" s="111"/>
      <c r="H853" s="1401"/>
    </row>
    <row r="854" spans="1:8" ht="16.5">
      <c r="A854" s="9" t="s">
        <v>100</v>
      </c>
      <c r="B854" s="43" t="s">
        <v>513</v>
      </c>
      <c r="C854" s="98">
        <f t="shared" si="66"/>
        <v>18614.669999999998</v>
      </c>
      <c r="D854" s="111">
        <v>18614.669999999998</v>
      </c>
      <c r="E854" s="1401"/>
      <c r="F854" s="98">
        <f t="shared" si="65"/>
        <v>18614.669999999998</v>
      </c>
      <c r="G854" s="111">
        <v>18614.669999999998</v>
      </c>
      <c r="H854" s="1401"/>
    </row>
    <row r="855" spans="1:8" ht="16.5">
      <c r="A855" s="9" t="s">
        <v>100</v>
      </c>
      <c r="B855" s="43" t="s">
        <v>514</v>
      </c>
      <c r="C855" s="98">
        <f t="shared" si="66"/>
        <v>0</v>
      </c>
      <c r="D855" s="111"/>
      <c r="E855" s="1396"/>
      <c r="F855" s="98">
        <f t="shared" si="65"/>
        <v>0</v>
      </c>
      <c r="G855" s="111"/>
      <c r="H855" s="1396"/>
    </row>
    <row r="856" spans="1:8" ht="16.5">
      <c r="A856" s="473" t="s">
        <v>97</v>
      </c>
      <c r="B856" s="423" t="s">
        <v>515</v>
      </c>
      <c r="C856" s="98">
        <f t="shared" si="66"/>
        <v>8096</v>
      </c>
      <c r="D856" s="115">
        <v>8096</v>
      </c>
      <c r="E856" s="1376"/>
      <c r="F856" s="98">
        <f t="shared" si="65"/>
        <v>8096</v>
      </c>
      <c r="G856" s="115">
        <v>8096</v>
      </c>
      <c r="H856" s="1376"/>
    </row>
    <row r="857" spans="1:8" ht="17.25" thickBot="1">
      <c r="A857" s="473" t="s">
        <v>97</v>
      </c>
      <c r="B857" s="423" t="s">
        <v>516</v>
      </c>
      <c r="C857" s="149">
        <f t="shared" si="66"/>
        <v>5153</v>
      </c>
      <c r="D857" s="115">
        <v>5153</v>
      </c>
      <c r="E857" s="1376"/>
      <c r="F857" s="149">
        <f t="shared" si="65"/>
        <v>5153</v>
      </c>
      <c r="G857" s="115">
        <v>5153</v>
      </c>
      <c r="H857" s="1376"/>
    </row>
    <row r="858" spans="1:8" ht="65.25" thickBot="1">
      <c r="A858" s="1358" t="s">
        <v>225</v>
      </c>
      <c r="B858" s="1359" t="s">
        <v>1917</v>
      </c>
      <c r="C858" s="1360">
        <f t="shared" si="66"/>
        <v>28400</v>
      </c>
      <c r="D858" s="1361">
        <f>SUM(D859:D861)</f>
        <v>28400</v>
      </c>
      <c r="E858" s="1361">
        <f>SUM(E860:E861)</f>
        <v>0</v>
      </c>
      <c r="F858" s="1360">
        <f t="shared" si="65"/>
        <v>28400</v>
      </c>
      <c r="G858" s="1361">
        <f>SUM(G859:G861)</f>
        <v>28400</v>
      </c>
      <c r="H858" s="1362">
        <f>SUM(H860:H861)</f>
        <v>0</v>
      </c>
    </row>
    <row r="859" spans="1:8" ht="16.5">
      <c r="A859" s="503" t="s">
        <v>91</v>
      </c>
      <c r="B859" s="357" t="s">
        <v>1918</v>
      </c>
      <c r="C859" s="369">
        <f t="shared" si="66"/>
        <v>0</v>
      </c>
      <c r="D859" s="1195"/>
      <c r="E859" s="1420"/>
      <c r="F859" s="369">
        <f t="shared" si="65"/>
        <v>0</v>
      </c>
      <c r="G859" s="1195"/>
      <c r="H859" s="1420"/>
    </row>
    <row r="860" spans="1:8" ht="16.5">
      <c r="A860" s="9" t="s">
        <v>95</v>
      </c>
      <c r="B860" s="43" t="s">
        <v>1919</v>
      </c>
      <c r="C860" s="149">
        <f t="shared" si="66"/>
        <v>20000</v>
      </c>
      <c r="D860" s="99">
        <v>20000</v>
      </c>
      <c r="E860" s="1396"/>
      <c r="F860" s="149">
        <f t="shared" si="65"/>
        <v>20000</v>
      </c>
      <c r="G860" s="111">
        <v>20000</v>
      </c>
      <c r="H860" s="1396"/>
    </row>
    <row r="861" spans="1:8" ht="17.25" thickBot="1">
      <c r="A861" s="473" t="s">
        <v>97</v>
      </c>
      <c r="B861" s="43" t="s">
        <v>1920</v>
      </c>
      <c r="C861" s="149">
        <f t="shared" si="66"/>
        <v>8400</v>
      </c>
      <c r="D861" s="99">
        <v>8400</v>
      </c>
      <c r="E861" s="1396"/>
      <c r="F861" s="149">
        <f t="shared" si="65"/>
        <v>8400</v>
      </c>
      <c r="G861" s="111">
        <v>8400</v>
      </c>
      <c r="H861" s="1396"/>
    </row>
    <row r="862" spans="1:8" ht="17.25" thickBot="1">
      <c r="A862" s="1255" t="s">
        <v>235</v>
      </c>
      <c r="B862" s="1256" t="s">
        <v>2287</v>
      </c>
      <c r="C862" s="1234">
        <f t="shared" si="66"/>
        <v>1125690.1499999999</v>
      </c>
      <c r="D862" s="1235">
        <f>D863+D874</f>
        <v>266398.15000000002</v>
      </c>
      <c r="E862" s="1235">
        <f>E863+E874</f>
        <v>859292</v>
      </c>
      <c r="F862" s="1234">
        <f t="shared" si="65"/>
        <v>1125369.0899999999</v>
      </c>
      <c r="G862" s="1235">
        <f>G864+G875</f>
        <v>266398.15000000002</v>
      </c>
      <c r="H862" s="1235">
        <f>H863+H874</f>
        <v>858970.94</v>
      </c>
    </row>
    <row r="863" spans="1:8" ht="17.25" thickBot="1">
      <c r="A863" s="1218"/>
      <c r="B863" s="1256" t="s">
        <v>913</v>
      </c>
      <c r="C863" s="1234">
        <f t="shared" si="66"/>
        <v>43992</v>
      </c>
      <c r="D863" s="1235">
        <f>D864+D872</f>
        <v>0</v>
      </c>
      <c r="E863" s="1452">
        <f>E864+E870+E871</f>
        <v>43992</v>
      </c>
      <c r="F863" s="1234">
        <f t="shared" si="65"/>
        <v>43882</v>
      </c>
      <c r="G863" s="1235">
        <f>G864+G872</f>
        <v>0</v>
      </c>
      <c r="H863" s="1452">
        <f>H864+H870+H871</f>
        <v>43882</v>
      </c>
    </row>
    <row r="864" spans="1:8" ht="48" thickBot="1">
      <c r="A864" s="1284" t="s">
        <v>226</v>
      </c>
      <c r="B864" s="1291" t="s">
        <v>1921</v>
      </c>
      <c r="C864" s="1208">
        <f t="shared" si="66"/>
        <v>43992</v>
      </c>
      <c r="D864" s="1292">
        <f>D865+D866+D867+D868+D869+D870+D871</f>
        <v>0</v>
      </c>
      <c r="E864" s="1292">
        <f>E865+E866+E867+E868+E869+E870+E871</f>
        <v>43992</v>
      </c>
      <c r="F864" s="1208">
        <f>SUM(F865:F869)</f>
        <v>43882</v>
      </c>
      <c r="G864" s="1292">
        <f>SUM(G865:G869)</f>
        <v>0</v>
      </c>
      <c r="H864" s="1292">
        <f>H865+H866+H867+H868+H869+H870+H871</f>
        <v>43882</v>
      </c>
    </row>
    <row r="865" spans="1:8" ht="16.5">
      <c r="A865" s="503" t="s">
        <v>85</v>
      </c>
      <c r="B865" s="736" t="s">
        <v>1922</v>
      </c>
      <c r="C865" s="151">
        <f t="shared" si="66"/>
        <v>0</v>
      </c>
      <c r="D865" s="737"/>
      <c r="E865" s="1399"/>
      <c r="F865" s="151">
        <f>G865+H865</f>
        <v>0</v>
      </c>
      <c r="G865" s="1196"/>
      <c r="H865" s="1421"/>
    </row>
    <row r="866" spans="1:8" ht="16.5">
      <c r="A866" s="503" t="s">
        <v>91</v>
      </c>
      <c r="B866" s="736" t="s">
        <v>1923</v>
      </c>
      <c r="C866" s="369">
        <f t="shared" si="66"/>
        <v>26300</v>
      </c>
      <c r="D866" s="737"/>
      <c r="E866" s="1399">
        <v>26300</v>
      </c>
      <c r="F866" s="369">
        <f>G866+H866</f>
        <v>26190</v>
      </c>
      <c r="G866" s="737"/>
      <c r="H866" s="1399">
        <v>26190</v>
      </c>
    </row>
    <row r="867" spans="1:8" ht="16.5">
      <c r="A867" s="9" t="s">
        <v>95</v>
      </c>
      <c r="B867" s="384" t="s">
        <v>1924</v>
      </c>
      <c r="C867" s="149">
        <f t="shared" si="66"/>
        <v>11512</v>
      </c>
      <c r="D867" s="167"/>
      <c r="E867" s="1400">
        <v>11512</v>
      </c>
      <c r="F867" s="149">
        <f>G867+H867</f>
        <v>11512</v>
      </c>
      <c r="G867" s="167"/>
      <c r="H867" s="1400">
        <v>11512</v>
      </c>
    </row>
    <row r="868" spans="1:8" ht="16.5">
      <c r="A868" s="473" t="s">
        <v>97</v>
      </c>
      <c r="B868" s="735" t="s">
        <v>1925</v>
      </c>
      <c r="C868" s="149">
        <f t="shared" si="66"/>
        <v>0</v>
      </c>
      <c r="D868" s="734"/>
      <c r="E868" s="1377"/>
      <c r="F868" s="149">
        <f>G868</f>
        <v>0</v>
      </c>
      <c r="G868" s="734"/>
      <c r="H868" s="1377"/>
    </row>
    <row r="869" spans="1:8" ht="16.5">
      <c r="A869" s="9" t="s">
        <v>100</v>
      </c>
      <c r="B869" s="384" t="s">
        <v>1926</v>
      </c>
      <c r="C869" s="98">
        <f t="shared" si="66"/>
        <v>6180</v>
      </c>
      <c r="D869" s="167"/>
      <c r="E869" s="1400">
        <v>6180</v>
      </c>
      <c r="F869" s="98">
        <f>G869+H869</f>
        <v>6180</v>
      </c>
      <c r="G869" s="167"/>
      <c r="H869" s="1400">
        <v>6180</v>
      </c>
    </row>
    <row r="870" spans="1:8" ht="16.5">
      <c r="A870" s="1381" t="s">
        <v>100</v>
      </c>
      <c r="B870" s="1386" t="s">
        <v>2464</v>
      </c>
      <c r="C870" s="1382">
        <f t="shared" si="66"/>
        <v>0</v>
      </c>
      <c r="D870" s="1391"/>
      <c r="E870" s="1391"/>
      <c r="F870" s="1382">
        <f>G870+H870</f>
        <v>0</v>
      </c>
      <c r="G870" s="1391"/>
      <c r="H870" s="1391"/>
    </row>
    <row r="871" spans="1:8" ht="17.25" thickBot="1">
      <c r="A871" s="1390" t="s">
        <v>97</v>
      </c>
      <c r="B871" s="1566" t="s">
        <v>2465</v>
      </c>
      <c r="C871" s="1392">
        <f t="shared" si="66"/>
        <v>0</v>
      </c>
      <c r="D871" s="1393"/>
      <c r="E871" s="1393"/>
      <c r="F871" s="1392">
        <f>G871+H871</f>
        <v>0</v>
      </c>
      <c r="G871" s="1393"/>
      <c r="H871" s="1393"/>
    </row>
    <row r="872" spans="1:8" ht="52.5" thickBot="1">
      <c r="A872" s="1630" t="s">
        <v>369</v>
      </c>
      <c r="B872" s="1679" t="s">
        <v>517</v>
      </c>
      <c r="C872" s="1632">
        <f>D872</f>
        <v>0</v>
      </c>
      <c r="D872" s="1643"/>
      <c r="E872" s="1643"/>
      <c r="F872" s="1632">
        <f>G872</f>
        <v>0</v>
      </c>
      <c r="G872" s="1643">
        <f>SUM(G873)</f>
        <v>0</v>
      </c>
      <c r="H872" s="1680"/>
    </row>
    <row r="873" spans="1:8" ht="17.25" thickBot="1">
      <c r="A873" s="1681"/>
      <c r="B873" s="1682" t="s">
        <v>518</v>
      </c>
      <c r="C873" s="1646">
        <f>D873</f>
        <v>0</v>
      </c>
      <c r="D873" s="1647"/>
      <c r="E873" s="1647"/>
      <c r="F873" s="1646">
        <f>G873</f>
        <v>0</v>
      </c>
      <c r="G873" s="1647"/>
      <c r="H873" s="1647"/>
    </row>
    <row r="874" spans="1:8" ht="17.25" thickBot="1">
      <c r="A874" s="1434"/>
      <c r="B874" s="1567" t="s">
        <v>912</v>
      </c>
      <c r="C874" s="150">
        <f t="shared" ref="C874:C884" si="67">D874+E874</f>
        <v>1081698.1499999999</v>
      </c>
      <c r="D874" s="1568">
        <f>D875</f>
        <v>266398.15000000002</v>
      </c>
      <c r="E874" s="1568">
        <f>E875</f>
        <v>815300</v>
      </c>
      <c r="F874" s="150">
        <f t="shared" ref="F874:F884" si="68">G874+H874</f>
        <v>1081487.0899999999</v>
      </c>
      <c r="G874" s="1568">
        <f>G875</f>
        <v>266398.15000000002</v>
      </c>
      <c r="H874" s="1569">
        <f>H875</f>
        <v>815088.94</v>
      </c>
    </row>
    <row r="875" spans="1:8" ht="48" thickBot="1">
      <c r="A875" s="1284" t="s">
        <v>226</v>
      </c>
      <c r="B875" s="1288" t="s">
        <v>2468</v>
      </c>
      <c r="C875" s="1208">
        <f t="shared" si="67"/>
        <v>1081698.1499999999</v>
      </c>
      <c r="D875" s="1274">
        <f>SUM(D876:D882)</f>
        <v>266398.15000000002</v>
      </c>
      <c r="E875" s="1274">
        <f>SUM(E876:E882)</f>
        <v>815300</v>
      </c>
      <c r="F875" s="1208">
        <f t="shared" si="68"/>
        <v>1081487.0899999999</v>
      </c>
      <c r="G875" s="1274">
        <f>SUM(G876:G882)</f>
        <v>266398.15000000002</v>
      </c>
      <c r="H875" s="1274">
        <f>SUM(H876:H882)</f>
        <v>815088.94</v>
      </c>
    </row>
    <row r="876" spans="1:8" ht="16.5">
      <c r="A876" s="503" t="s">
        <v>91</v>
      </c>
      <c r="B876" s="736" t="s">
        <v>2469</v>
      </c>
      <c r="C876" s="369">
        <f t="shared" si="67"/>
        <v>645750.63</v>
      </c>
      <c r="D876" s="544">
        <v>5750.63</v>
      </c>
      <c r="E876" s="1397">
        <v>640000</v>
      </c>
      <c r="F876" s="369">
        <f t="shared" si="68"/>
        <v>645539.56999999995</v>
      </c>
      <c r="G876" s="737">
        <v>5750.63</v>
      </c>
      <c r="H876" s="1399">
        <v>639788.93999999994</v>
      </c>
    </row>
    <row r="877" spans="1:8" ht="16.5">
      <c r="A877" s="9" t="s">
        <v>95</v>
      </c>
      <c r="B877" s="384" t="s">
        <v>2470</v>
      </c>
      <c r="C877" s="149">
        <f t="shared" si="67"/>
        <v>163647.51999999999</v>
      </c>
      <c r="D877" s="648">
        <v>154647.51999999999</v>
      </c>
      <c r="E877" s="1396">
        <v>9000</v>
      </c>
      <c r="F877" s="149">
        <f t="shared" si="68"/>
        <v>163647.51999999999</v>
      </c>
      <c r="G877" s="167">
        <v>154647.51999999999</v>
      </c>
      <c r="H877" s="1400">
        <v>9000</v>
      </c>
    </row>
    <row r="878" spans="1:8" ht="16.5">
      <c r="A878" s="473" t="s">
        <v>97</v>
      </c>
      <c r="B878" s="384" t="s">
        <v>2471</v>
      </c>
      <c r="C878" s="149">
        <f t="shared" si="67"/>
        <v>0</v>
      </c>
      <c r="D878" s="648"/>
      <c r="E878" s="1396"/>
      <c r="F878" s="149">
        <f t="shared" si="68"/>
        <v>0</v>
      </c>
      <c r="G878" s="167"/>
      <c r="H878" s="1400"/>
    </row>
    <row r="879" spans="1:8" ht="16.5">
      <c r="A879" s="9" t="s">
        <v>100</v>
      </c>
      <c r="B879" s="735" t="s">
        <v>2472</v>
      </c>
      <c r="C879" s="149">
        <f t="shared" si="67"/>
        <v>74700</v>
      </c>
      <c r="D879" s="651">
        <v>3400</v>
      </c>
      <c r="E879" s="1376">
        <v>71300</v>
      </c>
      <c r="F879" s="149">
        <f t="shared" si="68"/>
        <v>74700</v>
      </c>
      <c r="G879" s="733">
        <v>3400</v>
      </c>
      <c r="H879" s="1377">
        <v>71300</v>
      </c>
    </row>
    <row r="880" spans="1:8" ht="16.5">
      <c r="A880" s="1384" t="s">
        <v>91</v>
      </c>
      <c r="B880" s="1386" t="s">
        <v>581</v>
      </c>
      <c r="C880" s="1382">
        <f t="shared" si="67"/>
        <v>197600</v>
      </c>
      <c r="D880" s="1394">
        <v>102600</v>
      </c>
      <c r="E880" s="1394">
        <v>95000</v>
      </c>
      <c r="F880" s="1382">
        <f t="shared" si="68"/>
        <v>197600</v>
      </c>
      <c r="G880" s="1395">
        <v>102600</v>
      </c>
      <c r="H880" s="1391">
        <v>95000</v>
      </c>
    </row>
    <row r="881" spans="1:8" ht="16.5">
      <c r="A881" s="1384" t="s">
        <v>91</v>
      </c>
      <c r="B881" s="1386" t="s">
        <v>2466</v>
      </c>
      <c r="C881" s="1382">
        <f t="shared" si="67"/>
        <v>0</v>
      </c>
      <c r="D881" s="1394"/>
      <c r="E881" s="1394"/>
      <c r="F881" s="1382">
        <f t="shared" si="68"/>
        <v>0</v>
      </c>
      <c r="G881" s="1395"/>
      <c r="H881" s="1391"/>
    </row>
    <row r="882" spans="1:8" ht="16.5">
      <c r="A882" s="1390" t="s">
        <v>97</v>
      </c>
      <c r="B882" s="1386" t="s">
        <v>2467</v>
      </c>
      <c r="C882" s="1382">
        <f t="shared" si="67"/>
        <v>0</v>
      </c>
      <c r="D882" s="1394"/>
      <c r="E882" s="1394"/>
      <c r="F882" s="1382">
        <f t="shared" si="68"/>
        <v>0</v>
      </c>
      <c r="G882" s="1395"/>
      <c r="H882" s="1391"/>
    </row>
    <row r="883" spans="1:8" ht="32.25" thickBot="1">
      <c r="A883" s="1619" t="s">
        <v>126</v>
      </c>
      <c r="B883" s="1620" t="s">
        <v>227</v>
      </c>
      <c r="C883" s="1621">
        <f t="shared" si="67"/>
        <v>0</v>
      </c>
      <c r="D883" s="1622">
        <f>D884</f>
        <v>0</v>
      </c>
      <c r="E883" s="1622">
        <f>E884</f>
        <v>0</v>
      </c>
      <c r="F883" s="1621">
        <f t="shared" si="68"/>
        <v>0</v>
      </c>
      <c r="G883" s="1623">
        <f>G884</f>
        <v>0</v>
      </c>
      <c r="H883" s="1624">
        <f>H884</f>
        <v>0</v>
      </c>
    </row>
    <row r="884" spans="1:8" ht="17.25" thickBot="1">
      <c r="A884" s="502" t="s">
        <v>229</v>
      </c>
      <c r="B884" s="738" t="s">
        <v>228</v>
      </c>
      <c r="C884" s="369">
        <f t="shared" si="67"/>
        <v>0</v>
      </c>
      <c r="D884" s="130"/>
      <c r="E884" s="114"/>
      <c r="F884" s="369">
        <f t="shared" si="68"/>
        <v>0</v>
      </c>
      <c r="G884" s="739"/>
      <c r="H884" s="1422"/>
    </row>
    <row r="885" spans="1:8" ht="16.5">
      <c r="A885" s="1257" t="s">
        <v>230</v>
      </c>
      <c r="B885" s="1258" t="s">
        <v>519</v>
      </c>
      <c r="C885" s="260"/>
      <c r="D885" s="1259">
        <f>SUM(D886:D888)</f>
        <v>4738400</v>
      </c>
      <c r="E885" s="1259">
        <f>SUM(E886:E888)</f>
        <v>2091789</v>
      </c>
      <c r="F885" s="260"/>
      <c r="G885" s="1259">
        <f>SUM(G886:G888)</f>
        <v>4738400</v>
      </c>
      <c r="H885" s="1259">
        <f>SUM(H886:H888)</f>
        <v>1926590.66</v>
      </c>
    </row>
    <row r="886" spans="1:8" ht="64.5">
      <c r="A886" s="1188" t="s">
        <v>231</v>
      </c>
      <c r="B886" s="1226" t="s">
        <v>558</v>
      </c>
      <c r="C886" s="291"/>
      <c r="D886" s="1214"/>
      <c r="E886" s="1214">
        <v>2091789</v>
      </c>
      <c r="F886" s="291"/>
      <c r="G886" s="1260"/>
      <c r="H886" s="1260">
        <v>1926590.66</v>
      </c>
    </row>
    <row r="887" spans="1:8" ht="39">
      <c r="A887" s="1597" t="s">
        <v>1068</v>
      </c>
      <c r="B887" s="1625" t="s">
        <v>520</v>
      </c>
      <c r="C887" s="87"/>
      <c r="D887" s="1599">
        <v>3898400</v>
      </c>
      <c r="E887" s="1599"/>
      <c r="F887" s="87"/>
      <c r="G887" s="1626">
        <v>3898400</v>
      </c>
      <c r="H887" s="1626"/>
    </row>
    <row r="888" spans="1:8" ht="17.25" thickBot="1">
      <c r="A888" s="1206" t="s">
        <v>232</v>
      </c>
      <c r="B888" s="1248" t="s">
        <v>521</v>
      </c>
      <c r="C888" s="1261"/>
      <c r="D888" s="1262">
        <v>840000</v>
      </c>
      <c r="E888" s="1262"/>
      <c r="F888" s="1261"/>
      <c r="G888" s="1263">
        <v>840000</v>
      </c>
      <c r="H888" s="1263"/>
    </row>
    <row r="889" spans="1:8" ht="17.25" thickBot="1">
      <c r="A889" s="1694" t="s">
        <v>212</v>
      </c>
      <c r="B889" s="519" t="s">
        <v>213</v>
      </c>
      <c r="C889" s="94" t="e">
        <f>D889+E889-C891</f>
        <v>#REF!</v>
      </c>
      <c r="D889" s="94" t="e">
        <f>D122+D334+D347+D386+D433+D507+D681+D805+D862+D885+D803</f>
        <v>#REF!</v>
      </c>
      <c r="E889" s="94" t="e">
        <f>E122+E334+E347+E386+E433+E507+E681+E805+E862+E885+E803</f>
        <v>#REF!</v>
      </c>
      <c r="F889" s="94" t="e">
        <f>G889+H889-F891</f>
        <v>#REF!</v>
      </c>
      <c r="G889" s="94" t="e">
        <f>G122+G334+G347+G386+G433+G507+G681+G805+G862+G885+G803</f>
        <v>#REF!</v>
      </c>
      <c r="H889" s="94" t="e">
        <f>H122+H334+H347+H386+H433+H507+H681+H805+H862+H885+H803</f>
        <v>#REF!</v>
      </c>
    </row>
    <row r="890" spans="1:8" ht="27" thickBot="1">
      <c r="A890" s="285" t="s">
        <v>214</v>
      </c>
      <c r="B890" s="527" t="s">
        <v>215</v>
      </c>
      <c r="C890" s="172" t="e">
        <f t="shared" ref="C890:H890" si="69">C117-C889</f>
        <v>#REF!</v>
      </c>
      <c r="D890" s="172" t="e">
        <f t="shared" si="69"/>
        <v>#REF!</v>
      </c>
      <c r="E890" s="172" t="e">
        <f t="shared" si="69"/>
        <v>#REF!</v>
      </c>
      <c r="F890" s="172" t="e">
        <f t="shared" si="69"/>
        <v>#REF!</v>
      </c>
      <c r="G890" s="172" t="e">
        <f t="shared" si="69"/>
        <v>#REF!</v>
      </c>
      <c r="H890" s="172" t="e">
        <f t="shared" si="69"/>
        <v>#REF!</v>
      </c>
    </row>
    <row r="891" spans="1:8" ht="16.5">
      <c r="A891" s="531" t="s">
        <v>50</v>
      </c>
      <c r="B891" s="528" t="s">
        <v>974</v>
      </c>
      <c r="C891" s="260">
        <f>D891+E891</f>
        <v>6830189</v>
      </c>
      <c r="D891" s="261">
        <f>D885</f>
        <v>4738400</v>
      </c>
      <c r="E891" s="261">
        <f>E885</f>
        <v>2091789</v>
      </c>
      <c r="F891" s="260">
        <f>G891+H891</f>
        <v>6664990.6600000001</v>
      </c>
      <c r="G891" s="261">
        <f>G885</f>
        <v>4738400</v>
      </c>
      <c r="H891" s="262">
        <f>H885</f>
        <v>1926590.66</v>
      </c>
    </row>
    <row r="892" spans="1:8" ht="16.5">
      <c r="A892" s="302"/>
      <c r="B892" s="529"/>
      <c r="C892" s="300"/>
      <c r="D892" s="266" t="s">
        <v>838</v>
      </c>
      <c r="E892" s="301"/>
      <c r="F892" s="300"/>
      <c r="G892" s="266" t="s">
        <v>839</v>
      </c>
      <c r="H892" s="301"/>
    </row>
    <row r="893" spans="1:8" ht="26.25">
      <c r="A893" s="286" t="s">
        <v>837</v>
      </c>
      <c r="B893" s="530" t="s">
        <v>215</v>
      </c>
      <c r="C893" s="264"/>
      <c r="D893" s="303" t="e">
        <f>D115-D116-(D889-D867)</f>
        <v>#REF!</v>
      </c>
      <c r="E893" s="265"/>
      <c r="F893" s="264"/>
      <c r="G893" s="303" t="e">
        <f>G115-G116-(G889-G867)</f>
        <v>#REF!</v>
      </c>
      <c r="H893" s="265"/>
    </row>
    <row r="894" spans="1:8" ht="16.5">
      <c r="A894" s="297"/>
      <c r="B894" s="298"/>
      <c r="C894" s="113"/>
      <c r="D894" s="299" t="s">
        <v>1670</v>
      </c>
      <c r="E894" s="299"/>
      <c r="F894" s="113"/>
      <c r="G894" s="299" t="s">
        <v>1671</v>
      </c>
      <c r="H894" s="299"/>
    </row>
    <row r="895" spans="1:8" ht="16.5">
      <c r="A895" s="297"/>
      <c r="B895" s="361" t="s">
        <v>52</v>
      </c>
      <c r="C895" s="30" t="s">
        <v>1675</v>
      </c>
      <c r="D895" s="359">
        <f>D117-D106</f>
        <v>266873200</v>
      </c>
      <c r="E895" s="359"/>
      <c r="F895" s="78"/>
      <c r="G895" s="359">
        <f>G117-G106</f>
        <v>70574269.250000015</v>
      </c>
      <c r="H895" s="299"/>
    </row>
    <row r="896" spans="1:8" ht="32.25" thickBot="1">
      <c r="A896" s="297"/>
      <c r="B896" s="362" t="s">
        <v>212</v>
      </c>
      <c r="C896" s="363" t="s">
        <v>1674</v>
      </c>
      <c r="D896" s="360" t="e">
        <f>D889-D867</f>
        <v>#REF!</v>
      </c>
      <c r="E896" s="360"/>
      <c r="F896" s="358"/>
      <c r="G896" s="360" t="e">
        <f>G889-G867</f>
        <v>#REF!</v>
      </c>
      <c r="H896" s="299"/>
    </row>
    <row r="897" spans="1:8" ht="16.5">
      <c r="A897" s="2751" t="s">
        <v>74</v>
      </c>
      <c r="B897" s="2674" t="s">
        <v>216</v>
      </c>
      <c r="C897" s="1528" t="s">
        <v>2043</v>
      </c>
      <c r="D897" s="1529"/>
      <c r="E897" s="1530"/>
      <c r="F897" s="1528" t="s">
        <v>1016</v>
      </c>
      <c r="G897" s="1529"/>
      <c r="H897" s="1531"/>
    </row>
    <row r="898" spans="1:8" ht="66">
      <c r="A898" s="2659"/>
      <c r="B898" s="2661"/>
      <c r="C898" s="90" t="s">
        <v>2075</v>
      </c>
      <c r="D898" s="91" t="s">
        <v>1018</v>
      </c>
      <c r="E898" s="92" t="s">
        <v>1021</v>
      </c>
      <c r="F898" s="90" t="s">
        <v>2075</v>
      </c>
      <c r="G898" s="91" t="s">
        <v>2077</v>
      </c>
      <c r="H898" s="328" t="s">
        <v>1021</v>
      </c>
    </row>
    <row r="899" spans="1:8" ht="69" customHeight="1" thickBot="1">
      <c r="A899" s="313"/>
      <c r="B899" s="314"/>
      <c r="C899" s="330" t="s">
        <v>840</v>
      </c>
      <c r="D899" s="330">
        <v>9</v>
      </c>
      <c r="E899" s="331">
        <v>10</v>
      </c>
      <c r="F899" s="330" t="s">
        <v>841</v>
      </c>
      <c r="G899" s="330">
        <v>17</v>
      </c>
      <c r="H899" s="332">
        <v>18</v>
      </c>
    </row>
    <row r="900" spans="1:8" ht="43.5">
      <c r="A900" s="322" t="s">
        <v>1010</v>
      </c>
      <c r="B900" s="366" t="s">
        <v>998</v>
      </c>
      <c r="C900" s="323">
        <f t="shared" ref="C900:C905" si="70">D900+E900</f>
        <v>6036000</v>
      </c>
      <c r="D900" s="96">
        <f>Лист1!D649</f>
        <v>6036000</v>
      </c>
      <c r="E900" s="152">
        <f>Лист1!E649</f>
        <v>0</v>
      </c>
      <c r="F900" s="323">
        <f t="shared" ref="F900:F905" si="71">G900+H900</f>
        <v>0</v>
      </c>
      <c r="G900" s="324">
        <f>Лист1!G649</f>
        <v>0</v>
      </c>
      <c r="H900" s="325">
        <f>Лист1!H649</f>
        <v>0</v>
      </c>
    </row>
    <row r="901" spans="1:8" ht="43.5">
      <c r="A901" s="287" t="s">
        <v>1011</v>
      </c>
      <c r="B901" s="61" t="s">
        <v>999</v>
      </c>
      <c r="C901" s="80">
        <f t="shared" si="70"/>
        <v>0</v>
      </c>
      <c r="D901" s="96">
        <f>Лист1!D650</f>
        <v>0</v>
      </c>
      <c r="E901" s="152">
        <f>Лист1!E650</f>
        <v>0</v>
      </c>
      <c r="F901" s="80">
        <f t="shared" si="71"/>
        <v>0</v>
      </c>
      <c r="G901" s="324">
        <f>Лист1!G650</f>
        <v>0</v>
      </c>
      <c r="H901" s="325">
        <f>Лист1!H650</f>
        <v>0</v>
      </c>
    </row>
    <row r="902" spans="1:8" ht="51.75">
      <c r="A902" s="288" t="s">
        <v>2152</v>
      </c>
      <c r="B902" s="365" t="s">
        <v>1001</v>
      </c>
      <c r="C902" s="80">
        <f t="shared" si="70"/>
        <v>0</v>
      </c>
      <c r="D902" s="96">
        <f>Лист1!D651</f>
        <v>0</v>
      </c>
      <c r="E902" s="152">
        <f>Лист1!E651</f>
        <v>0</v>
      </c>
      <c r="F902" s="80">
        <f t="shared" si="71"/>
        <v>0</v>
      </c>
      <c r="G902" s="324">
        <f>Лист1!G651</f>
        <v>0</v>
      </c>
      <c r="H902" s="325">
        <f>Лист1!H651</f>
        <v>0</v>
      </c>
    </row>
    <row r="903" spans="1:8" ht="51.75">
      <c r="A903" s="288" t="s">
        <v>2084</v>
      </c>
      <c r="B903" s="61" t="s">
        <v>1002</v>
      </c>
      <c r="C903" s="80">
        <f t="shared" si="70"/>
        <v>0</v>
      </c>
      <c r="D903" s="96">
        <f>Лист1!D652</f>
        <v>0</v>
      </c>
      <c r="E903" s="152">
        <f>Лист1!E652</f>
        <v>0</v>
      </c>
      <c r="F903" s="80">
        <f t="shared" si="71"/>
        <v>0</v>
      </c>
      <c r="G903" s="324">
        <f>Лист1!G652</f>
        <v>0</v>
      </c>
      <c r="H903" s="325">
        <f>Лист1!H652</f>
        <v>0</v>
      </c>
    </row>
    <row r="904" spans="1:8" ht="51.75">
      <c r="A904" s="288" t="s">
        <v>1456</v>
      </c>
      <c r="B904" s="365" t="s">
        <v>1000</v>
      </c>
      <c r="C904" s="80">
        <f t="shared" si="70"/>
        <v>-4636000</v>
      </c>
      <c r="D904" s="96">
        <f>Лист1!D653</f>
        <v>-4636000</v>
      </c>
      <c r="E904" s="152">
        <f>Лист1!E653</f>
        <v>0</v>
      </c>
      <c r="F904" s="80">
        <f t="shared" si="71"/>
        <v>0</v>
      </c>
      <c r="G904" s="324">
        <f>Лист1!G653</f>
        <v>0</v>
      </c>
      <c r="H904" s="325">
        <f>Лист1!H653</f>
        <v>0</v>
      </c>
    </row>
    <row r="905" spans="1:8" ht="38.25">
      <c r="A905" s="319" t="s">
        <v>1457</v>
      </c>
      <c r="B905" s="61" t="s">
        <v>1003</v>
      </c>
      <c r="C905" s="80">
        <f t="shared" si="70"/>
        <v>0</v>
      </c>
      <c r="D905" s="96">
        <f>Лист1!D654</f>
        <v>0</v>
      </c>
      <c r="E905" s="152">
        <f>Лист1!E654</f>
        <v>0</v>
      </c>
      <c r="F905" s="80">
        <f t="shared" si="71"/>
        <v>0</v>
      </c>
      <c r="G905" s="324">
        <f>Лист1!G654</f>
        <v>0</v>
      </c>
      <c r="H905" s="325">
        <f>Лист1!H654</f>
        <v>0</v>
      </c>
    </row>
    <row r="906" spans="1:8" ht="26.25">
      <c r="A906" s="288" t="s">
        <v>1458</v>
      </c>
      <c r="B906" s="61" t="s">
        <v>1004</v>
      </c>
      <c r="C906" s="80">
        <f>C907+C908+C909+C910</f>
        <v>4233121.1599999666</v>
      </c>
      <c r="D906" s="96">
        <f>Лист1!D655</f>
        <v>1154960.1599999666</v>
      </c>
      <c r="E906" s="152">
        <f>Лист1!E655</f>
        <v>488950</v>
      </c>
      <c r="F906" s="80" t="s">
        <v>1760</v>
      </c>
      <c r="G906" s="324">
        <f>Лист1!G655</f>
        <v>-352307.26000000536</v>
      </c>
      <c r="H906" s="325">
        <f>Лист1!H655</f>
        <v>-2607675.4899999984</v>
      </c>
    </row>
    <row r="907" spans="1:8" ht="26.25">
      <c r="A907" s="288" t="s">
        <v>1662</v>
      </c>
      <c r="B907" s="365" t="s">
        <v>1005</v>
      </c>
      <c r="C907" s="291">
        <f>D907+D116</f>
        <v>-272909200</v>
      </c>
      <c r="D907" s="96">
        <f>Лист1!D656</f>
        <v>-277590200</v>
      </c>
      <c r="E907" s="152">
        <f>Лист1!E656</f>
        <v>0</v>
      </c>
      <c r="F907" s="291">
        <f>G907+G116</f>
        <v>-71480694.650000021</v>
      </c>
      <c r="G907" s="324">
        <f>Лист1!G656</f>
        <v>-72345732.750000015</v>
      </c>
      <c r="H907" s="325">
        <f>Лист1!H656</f>
        <v>0</v>
      </c>
    </row>
    <row r="908" spans="1:8" ht="26.25">
      <c r="A908" s="288" t="s">
        <v>1459</v>
      </c>
      <c r="B908" s="61" t="s">
        <v>1006</v>
      </c>
      <c r="C908" s="80">
        <f>E908+E116</f>
        <v>-59150300</v>
      </c>
      <c r="D908" s="96">
        <f>Лист1!D657</f>
        <v>0</v>
      </c>
      <c r="E908" s="152">
        <f>Лист1!E657</f>
        <v>-63888700</v>
      </c>
      <c r="F908" s="80">
        <f>H908+H116</f>
        <v>-9242001.0099999979</v>
      </c>
      <c r="G908" s="324">
        <f>Лист1!G657</f>
        <v>0</v>
      </c>
      <c r="H908" s="325">
        <f>Лист1!H657</f>
        <v>-13980401.009999998</v>
      </c>
    </row>
    <row r="909" spans="1:8" ht="26.25">
      <c r="A909" s="288" t="s">
        <v>1663</v>
      </c>
      <c r="B909" s="365" t="s">
        <v>1007</v>
      </c>
      <c r="C909" s="291">
        <f>D909-D891</f>
        <v>274006760.15999997</v>
      </c>
      <c r="D909" s="96">
        <f>Лист1!D658</f>
        <v>278745160.15999997</v>
      </c>
      <c r="E909" s="152">
        <f>Лист1!E658</f>
        <v>0</v>
      </c>
      <c r="F909" s="291">
        <f>G909-G891</f>
        <v>67255025.49000001</v>
      </c>
      <c r="G909" s="324">
        <f>Лист1!G658</f>
        <v>71993425.49000001</v>
      </c>
      <c r="H909" s="325">
        <f>Лист1!H658</f>
        <v>0</v>
      </c>
    </row>
    <row r="910" spans="1:8" ht="26.25">
      <c r="A910" s="288" t="s">
        <v>1462</v>
      </c>
      <c r="B910" s="61" t="s">
        <v>1008</v>
      </c>
      <c r="C910" s="80">
        <f>E910-E891</f>
        <v>62285861</v>
      </c>
      <c r="D910" s="96">
        <f>Лист1!D659</f>
        <v>0</v>
      </c>
      <c r="E910" s="152">
        <f>Лист1!E659</f>
        <v>64377650</v>
      </c>
      <c r="F910" s="80">
        <f>H910-H891</f>
        <v>9446134.8600000013</v>
      </c>
      <c r="G910" s="324">
        <f>Лист1!G659</f>
        <v>0</v>
      </c>
      <c r="H910" s="325">
        <f>Лист1!H659</f>
        <v>11372725.520000001</v>
      </c>
    </row>
    <row r="911" spans="1:8" ht="30">
      <c r="A911" s="289" t="s">
        <v>2083</v>
      </c>
      <c r="B911" s="202" t="s">
        <v>1009</v>
      </c>
      <c r="C911" s="179">
        <f>C900+C902+C904+C906</f>
        <v>5633121.1599999666</v>
      </c>
      <c r="D911" s="179">
        <f>D900+D902+D904+D906</f>
        <v>2554960.1599999666</v>
      </c>
      <c r="E911" s="180">
        <f>mo!L255</f>
        <v>488950</v>
      </c>
      <c r="F911" s="179"/>
      <c r="G911" s="179">
        <f>G900+G902+G904+G906</f>
        <v>-352307.26000000536</v>
      </c>
      <c r="H911" s="179">
        <f>mo!M255</f>
        <v>-2607675.4899999984</v>
      </c>
    </row>
    <row r="912" spans="1:8" ht="14.25">
      <c r="A912"/>
      <c r="B912"/>
      <c r="C912"/>
      <c r="D912" s="367" t="s">
        <v>840</v>
      </c>
      <c r="E912"/>
      <c r="F912"/>
      <c r="G912" s="65">
        <f>G914-G913</f>
        <v>-352307.26</v>
      </c>
      <c r="H912" s="65">
        <f>H914-H913</f>
        <v>-2607675.4899999998</v>
      </c>
    </row>
    <row r="913" spans="1:8" ht="15">
      <c r="A913" s="64" t="s">
        <v>836</v>
      </c>
      <c r="B913"/>
      <c r="C913"/>
      <c r="D913" s="368">
        <f>C900+C902+C904+C907+C909</f>
        <v>2497560.1599999666</v>
      </c>
      <c r="E913"/>
      <c r="F913"/>
      <c r="G913" s="248">
        <f>Лист1!G667</f>
        <v>1507026.9</v>
      </c>
      <c r="H913" s="65">
        <f>mo!M263</f>
        <v>5229751.3499999996</v>
      </c>
    </row>
    <row r="914" spans="1:8" ht="14.25">
      <c r="A914" s="64" t="s">
        <v>852</v>
      </c>
      <c r="B914"/>
      <c r="C914" t="s">
        <v>771</v>
      </c>
      <c r="D914"/>
      <c r="E914"/>
      <c r="F914"/>
      <c r="G914" s="65">
        <f>Лист1!G668</f>
        <v>1154719.6399999999</v>
      </c>
      <c r="H914" s="65">
        <f>Лист1!H668</f>
        <v>2622075.86</v>
      </c>
    </row>
    <row r="915" spans="1:8" ht="15">
      <c r="A915" s="64" t="s">
        <v>783</v>
      </c>
      <c r="B915"/>
      <c r="C915"/>
      <c r="D915"/>
      <c r="E915"/>
      <c r="F915" s="248"/>
      <c r="G915" s="258"/>
      <c r="H915" s="248"/>
    </row>
    <row r="916" spans="1:8" ht="15">
      <c r="A916" s="72" t="s">
        <v>67</v>
      </c>
      <c r="B916" s="11"/>
      <c r="C916" s="11"/>
      <c r="D916" s="74" t="s">
        <v>767</v>
      </c>
      <c r="E916" s="13"/>
      <c r="F916" s="256"/>
      <c r="G916" s="14" t="s">
        <v>778</v>
      </c>
      <c r="H916" s="4"/>
    </row>
    <row r="917" spans="1:8" ht="15">
      <c r="F917" s="257"/>
    </row>
    <row r="918" spans="1:8" ht="14.25">
      <c r="A918" s="72" t="s">
        <v>983</v>
      </c>
      <c r="B918" s="11"/>
      <c r="C918" s="11"/>
      <c r="D918" s="75" t="s">
        <v>768</v>
      </c>
      <c r="E918" s="13"/>
      <c r="F918" s="13"/>
      <c r="H918" t="s">
        <v>1292</v>
      </c>
    </row>
    <row r="919" spans="1:8">
      <c r="A919" s="73"/>
      <c r="B919" s="73"/>
      <c r="C919" s="73"/>
      <c r="D919" s="13"/>
      <c r="E919" s="13"/>
      <c r="F919" s="13"/>
    </row>
    <row r="920" spans="1:8" ht="12.75">
      <c r="A920" s="72" t="s">
        <v>68</v>
      </c>
      <c r="B920" s="11"/>
      <c r="C920" s="11"/>
      <c r="D920" s="76" t="s">
        <v>769</v>
      </c>
      <c r="E920" s="13"/>
      <c r="F920" s="13"/>
    </row>
  </sheetData>
  <mergeCells count="14">
    <mergeCell ref="A8:A9"/>
    <mergeCell ref="B8:B9"/>
    <mergeCell ref="C8:E8"/>
    <mergeCell ref="F8:H8"/>
    <mergeCell ref="A1:G1"/>
    <mergeCell ref="A2:E2"/>
    <mergeCell ref="F2:G2"/>
    <mergeCell ref="A5:G5"/>
    <mergeCell ref="F119:H119"/>
    <mergeCell ref="A897:A898"/>
    <mergeCell ref="B897:B898"/>
    <mergeCell ref="A119:A120"/>
    <mergeCell ref="B119:B120"/>
    <mergeCell ref="C119:E119"/>
  </mergeCells>
  <phoneticPr fontId="4" type="noConversion"/>
  <printOptions horizontalCentered="1"/>
  <pageMargins left="0.15748031496062992" right="0.15748031496062992" top="0.43307086614173229" bottom="0.47244094488188981" header="0.39370078740157483" footer="0.51181102362204722"/>
  <pageSetup paperSize="9" scale="70"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14" enableFormatConditionsCalculation="0">
    <tabColor indexed="24"/>
  </sheetPr>
  <dimension ref="A1:F166"/>
  <sheetViews>
    <sheetView topLeftCell="A65" workbookViewId="0">
      <selection activeCell="E155" sqref="E155:E161"/>
    </sheetView>
  </sheetViews>
  <sheetFormatPr defaultRowHeight="11.25"/>
  <cols>
    <col min="1" max="1" width="36.5" customWidth="1"/>
    <col min="2" max="2" width="29.5" customWidth="1"/>
    <col min="3" max="3" width="14.6640625" customWidth="1"/>
    <col min="4" max="5" width="15.6640625" customWidth="1"/>
    <col min="6" max="11" width="13.33203125" bestFit="1" customWidth="1"/>
    <col min="12" max="12" width="11.83203125" bestFit="1" customWidth="1"/>
    <col min="13" max="13" width="20" bestFit="1" customWidth="1"/>
    <col min="14" max="14" width="13.33203125" bestFit="1" customWidth="1"/>
    <col min="15" max="15" width="15.6640625" bestFit="1" customWidth="1"/>
    <col min="16" max="16" width="10.33203125" bestFit="1" customWidth="1"/>
    <col min="17" max="17" width="8.5" bestFit="1" customWidth="1"/>
    <col min="18" max="18" width="13.83203125" bestFit="1" customWidth="1"/>
    <col min="19" max="19" width="16.6640625" bestFit="1" customWidth="1"/>
  </cols>
  <sheetData>
    <row r="1" spans="1:6" ht="12">
      <c r="A1" s="998"/>
      <c r="B1" s="999" t="s">
        <v>1036</v>
      </c>
      <c r="C1" s="999"/>
      <c r="D1" s="998"/>
      <c r="E1" s="1000" t="s">
        <v>1037</v>
      </c>
      <c r="F1" s="1056"/>
    </row>
    <row r="2" spans="1:6" ht="12">
      <c r="A2" s="998"/>
      <c r="B2" s="999" t="s">
        <v>1038</v>
      </c>
      <c r="C2" s="999"/>
      <c r="D2" s="998"/>
      <c r="E2" s="1000"/>
      <c r="F2" s="1056"/>
    </row>
    <row r="3" spans="1:6" ht="12">
      <c r="A3" s="998"/>
      <c r="B3" s="999" t="s">
        <v>1039</v>
      </c>
      <c r="C3" s="999"/>
      <c r="D3" s="998"/>
      <c r="E3" s="1000"/>
      <c r="F3" s="1056"/>
    </row>
    <row r="4" spans="1:6" ht="12">
      <c r="A4" s="998" t="s">
        <v>1144</v>
      </c>
      <c r="B4" s="998"/>
      <c r="C4" s="998"/>
      <c r="D4" s="998"/>
      <c r="E4" s="1000"/>
      <c r="F4" s="1056"/>
    </row>
    <row r="5" spans="1:6" ht="48.75" thickBot="1">
      <c r="A5" s="1001" t="s">
        <v>1040</v>
      </c>
      <c r="B5" s="1001" t="s">
        <v>1041</v>
      </c>
      <c r="C5" s="1001" t="s">
        <v>1042</v>
      </c>
      <c r="D5" s="1002" t="s">
        <v>1043</v>
      </c>
      <c r="E5" s="1001" t="s">
        <v>688</v>
      </c>
      <c r="F5" s="1056"/>
    </row>
    <row r="6" spans="1:6" ht="12.75" thickBot="1">
      <c r="A6" s="1003" t="s">
        <v>1044</v>
      </c>
      <c r="B6" s="1004" t="s">
        <v>1045</v>
      </c>
      <c r="C6" s="934">
        <f>SUM(C7:C24)</f>
        <v>8986000</v>
      </c>
      <c r="D6" s="935">
        <f>SUM(D7:D24)</f>
        <v>0</v>
      </c>
      <c r="E6" s="936">
        <f>SUM(E7:E24)</f>
        <v>1788334.0999999996</v>
      </c>
      <c r="F6" s="1056"/>
    </row>
    <row r="7" spans="1:6" ht="144">
      <c r="A7" s="932" t="s">
        <v>1031</v>
      </c>
      <c r="B7" s="933" t="s">
        <v>2184</v>
      </c>
      <c r="C7" s="937">
        <f>mo!B5</f>
        <v>7000000</v>
      </c>
      <c r="D7" s="938"/>
      <c r="E7" s="937">
        <f>mo!C5</f>
        <v>1455868.63</v>
      </c>
      <c r="F7" s="1056"/>
    </row>
    <row r="8" spans="1:6" ht="144">
      <c r="A8" s="932" t="s">
        <v>1031</v>
      </c>
      <c r="B8" s="933" t="s">
        <v>1672</v>
      </c>
      <c r="C8" s="939">
        <f>mo!B6</f>
        <v>6500</v>
      </c>
      <c r="D8" s="940"/>
      <c r="E8" s="939">
        <f>mo!C6</f>
        <v>1252.9000000000001</v>
      </c>
      <c r="F8" s="1056"/>
    </row>
    <row r="9" spans="1:6" ht="132">
      <c r="A9" s="1005" t="s">
        <v>1032</v>
      </c>
      <c r="B9" s="941" t="s">
        <v>2186</v>
      </c>
      <c r="C9" s="945">
        <f>mo!B7</f>
        <v>0</v>
      </c>
      <c r="D9" s="943"/>
      <c r="E9" s="942">
        <f>mo!C7</f>
        <v>0</v>
      </c>
      <c r="F9" s="1056"/>
    </row>
    <row r="10" spans="1:6" ht="60">
      <c r="A10" s="1005" t="s">
        <v>1033</v>
      </c>
      <c r="B10" s="941" t="s">
        <v>2187</v>
      </c>
      <c r="C10" s="942">
        <f>mo!B8</f>
        <v>2500</v>
      </c>
      <c r="D10" s="943"/>
      <c r="E10" s="942">
        <f>mo!C8</f>
        <v>4963.3999999999996</v>
      </c>
      <c r="F10" s="1056"/>
    </row>
    <row r="11" spans="1:6" ht="363" customHeight="1">
      <c r="A11" s="1006" t="s">
        <v>1270</v>
      </c>
      <c r="B11" s="941" t="s">
        <v>2188</v>
      </c>
      <c r="C11" s="942">
        <f>mo!B9</f>
        <v>0</v>
      </c>
      <c r="D11" s="943"/>
      <c r="E11" s="942">
        <f>mo!C9</f>
        <v>0</v>
      </c>
      <c r="F11" s="1056"/>
    </row>
    <row r="12" spans="1:6" ht="60">
      <c r="A12" s="1005" t="s">
        <v>1277</v>
      </c>
      <c r="B12" s="941" t="s">
        <v>2195</v>
      </c>
      <c r="C12" s="942">
        <f>mo!B14</f>
        <v>400000</v>
      </c>
      <c r="D12" s="943"/>
      <c r="E12" s="942">
        <f>mo!C14</f>
        <v>24667.13</v>
      </c>
      <c r="F12" s="1056"/>
    </row>
    <row r="13" spans="1:6" ht="24">
      <c r="A13" s="1005" t="s">
        <v>1279</v>
      </c>
      <c r="B13" s="941" t="s">
        <v>1046</v>
      </c>
      <c r="C13" s="942"/>
      <c r="D13" s="943"/>
      <c r="E13" s="942"/>
      <c r="F13" s="1056"/>
    </row>
    <row r="14" spans="1:6" ht="96">
      <c r="A14" s="1005" t="s">
        <v>1286</v>
      </c>
      <c r="B14" s="941" t="s">
        <v>1359</v>
      </c>
      <c r="C14" s="942">
        <f>mo!B15</f>
        <v>700000</v>
      </c>
      <c r="D14" s="943"/>
      <c r="E14" s="942">
        <f>mo!C15</f>
        <v>190754.61</v>
      </c>
      <c r="F14" s="1056"/>
    </row>
    <row r="15" spans="1:6" ht="96">
      <c r="A15" s="1005" t="s">
        <v>1</v>
      </c>
      <c r="B15" s="941" t="s">
        <v>2196</v>
      </c>
      <c r="C15" s="942">
        <f>mo!B16</f>
        <v>200000</v>
      </c>
      <c r="D15" s="943"/>
      <c r="E15" s="942">
        <f>mo!C16</f>
        <v>52647.839999999997</v>
      </c>
      <c r="F15" s="1056"/>
    </row>
    <row r="16" spans="1:6" ht="48">
      <c r="A16" s="1005" t="s">
        <v>2161</v>
      </c>
      <c r="B16" s="941" t="s">
        <v>2207</v>
      </c>
      <c r="C16" s="942">
        <f>mo!B17</f>
        <v>0</v>
      </c>
      <c r="D16" s="943">
        <v>0</v>
      </c>
      <c r="E16" s="942">
        <f>mo!C17</f>
        <v>0</v>
      </c>
      <c r="F16" s="1056"/>
    </row>
    <row r="17" spans="1:6" ht="120">
      <c r="A17" s="1005" t="s">
        <v>2124</v>
      </c>
      <c r="B17" s="941" t="s">
        <v>873</v>
      </c>
      <c r="C17" s="942">
        <f>mo!B18</f>
        <v>257000</v>
      </c>
      <c r="D17" s="943"/>
      <c r="E17" s="942">
        <f>mo!C18</f>
        <v>3399.99</v>
      </c>
      <c r="F17" s="1056"/>
    </row>
    <row r="18" spans="1:6" ht="84">
      <c r="A18" s="1005" t="s">
        <v>1632</v>
      </c>
      <c r="B18" s="941" t="s">
        <v>2270</v>
      </c>
      <c r="C18" s="942">
        <f>mo!B19</f>
        <v>220000</v>
      </c>
      <c r="D18" s="943"/>
      <c r="E18" s="942">
        <f>mo!C19</f>
        <v>15454.6</v>
      </c>
      <c r="F18" s="1056"/>
    </row>
    <row r="19" spans="1:6" ht="72">
      <c r="A19" s="1005" t="s">
        <v>1364</v>
      </c>
      <c r="B19" s="941" t="s">
        <v>1639</v>
      </c>
      <c r="C19" s="942"/>
      <c r="D19" s="943"/>
      <c r="E19" s="942">
        <f>mo!C21</f>
        <v>0</v>
      </c>
      <c r="F19" s="1056"/>
    </row>
    <row r="20" spans="1:6" ht="72">
      <c r="A20" s="1005" t="s">
        <v>1364</v>
      </c>
      <c r="B20" s="941" t="s">
        <v>1363</v>
      </c>
      <c r="C20" s="942">
        <f>mo!B21</f>
        <v>0</v>
      </c>
      <c r="D20" s="943"/>
      <c r="E20" s="942">
        <v>0</v>
      </c>
      <c r="F20" s="1056"/>
    </row>
    <row r="21" spans="1:6" ht="48">
      <c r="A21" s="1007" t="s">
        <v>8</v>
      </c>
      <c r="B21" s="944" t="s">
        <v>1945</v>
      </c>
      <c r="C21" s="942">
        <f>mo!B22</f>
        <v>0</v>
      </c>
      <c r="D21" s="943"/>
      <c r="E21" s="942">
        <f>mo!C22</f>
        <v>0</v>
      </c>
      <c r="F21" s="1056"/>
    </row>
    <row r="22" spans="1:6" ht="36">
      <c r="A22" s="1005" t="s">
        <v>9</v>
      </c>
      <c r="B22" s="941" t="s">
        <v>1947</v>
      </c>
      <c r="C22" s="942">
        <f>mo!B23</f>
        <v>0</v>
      </c>
      <c r="D22" s="943"/>
      <c r="E22" s="942">
        <f>mo!C23</f>
        <v>300</v>
      </c>
      <c r="F22" s="1056"/>
    </row>
    <row r="23" spans="1:6" ht="12">
      <c r="A23" s="1005" t="s">
        <v>2082</v>
      </c>
      <c r="B23" s="941" t="s">
        <v>29</v>
      </c>
      <c r="C23" s="942">
        <f>mo!B24</f>
        <v>200000</v>
      </c>
      <c r="D23" s="950">
        <v>0</v>
      </c>
      <c r="E23" s="942">
        <f>mo!C24</f>
        <v>39025</v>
      </c>
      <c r="F23" s="1056"/>
    </row>
    <row r="24" spans="1:6" ht="24.75" thickBot="1">
      <c r="A24" s="1008" t="s">
        <v>12</v>
      </c>
      <c r="B24" s="946" t="s">
        <v>1354</v>
      </c>
      <c r="C24" s="947">
        <f>-mo!B25</f>
        <v>0</v>
      </c>
      <c r="D24" s="948"/>
      <c r="E24" s="949">
        <f>mo!C25</f>
        <v>0</v>
      </c>
      <c r="F24" s="1056"/>
    </row>
    <row r="25" spans="1:6" ht="12.75" thickBot="1">
      <c r="A25" s="1009" t="s">
        <v>48</v>
      </c>
      <c r="B25" s="1004" t="s">
        <v>1047</v>
      </c>
      <c r="C25" s="934">
        <f>SUM(C26:C38)</f>
        <v>14095700</v>
      </c>
      <c r="D25" s="935">
        <f>SUM(D26:D38)</f>
        <v>0</v>
      </c>
      <c r="E25" s="936">
        <f>SUM(E26:E38)</f>
        <v>3335783.62</v>
      </c>
      <c r="F25" s="1056"/>
    </row>
    <row r="26" spans="1:6" ht="36">
      <c r="A26" s="1058" t="s">
        <v>1519</v>
      </c>
      <c r="B26" s="933" t="s">
        <v>1356</v>
      </c>
      <c r="C26" s="951" t="s">
        <v>771</v>
      </c>
      <c r="D26" s="940"/>
      <c r="E26" s="939">
        <v>0</v>
      </c>
      <c r="F26" s="1056"/>
    </row>
    <row r="27" spans="1:6" ht="36">
      <c r="A27" s="1011" t="s">
        <v>1048</v>
      </c>
      <c r="B27" s="944" t="s">
        <v>1356</v>
      </c>
      <c r="C27" s="942">
        <f>mo!B28</f>
        <v>13141200</v>
      </c>
      <c r="D27" s="943"/>
      <c r="E27" s="942">
        <f>mo!C28</f>
        <v>3285000</v>
      </c>
      <c r="F27" s="1056"/>
    </row>
    <row r="28" spans="1:6" ht="60">
      <c r="A28" s="1011" t="s">
        <v>1641</v>
      </c>
      <c r="B28" s="944" t="s">
        <v>1640</v>
      </c>
      <c r="C28" s="942">
        <f>mo!B31</f>
        <v>0</v>
      </c>
      <c r="D28" s="943"/>
      <c r="E28" s="942">
        <f>mo!C31</f>
        <v>0</v>
      </c>
      <c r="F28" s="1056"/>
    </row>
    <row r="29" spans="1:6" ht="24">
      <c r="A29" s="1011" t="s">
        <v>1049</v>
      </c>
      <c r="B29" s="944" t="s">
        <v>119</v>
      </c>
      <c r="C29" s="942">
        <f>mo!B39</f>
        <v>700</v>
      </c>
      <c r="D29" s="943"/>
      <c r="E29" s="942">
        <f>mo!C39</f>
        <v>0</v>
      </c>
      <c r="F29" s="1056"/>
    </row>
    <row r="30" spans="1:6" ht="24">
      <c r="A30" s="1011" t="s">
        <v>1050</v>
      </c>
      <c r="B30" s="944" t="s">
        <v>686</v>
      </c>
      <c r="C30" s="942">
        <f>mo!B41</f>
        <v>0</v>
      </c>
      <c r="D30" s="943"/>
      <c r="E30" s="942">
        <f>mo!C41</f>
        <v>0</v>
      </c>
      <c r="F30" s="1056"/>
    </row>
    <row r="31" spans="1:6" ht="132">
      <c r="A31" s="1014" t="s">
        <v>1051</v>
      </c>
      <c r="B31" s="952" t="s">
        <v>2080</v>
      </c>
      <c r="C31" s="942"/>
      <c r="D31" s="953"/>
      <c r="E31" s="942"/>
      <c r="F31" s="1056"/>
    </row>
    <row r="32" spans="1:6" ht="60">
      <c r="A32" s="1014" t="s">
        <v>1052</v>
      </c>
      <c r="B32" s="952" t="s">
        <v>2080</v>
      </c>
      <c r="C32" s="942">
        <f>mo!B33</f>
        <v>0</v>
      </c>
      <c r="D32" s="954"/>
      <c r="E32" s="942">
        <f>mo!C33</f>
        <v>0</v>
      </c>
      <c r="F32" s="1056"/>
    </row>
    <row r="33" spans="1:6" ht="84">
      <c r="A33" s="1010" t="s">
        <v>301</v>
      </c>
      <c r="B33" s="952" t="s">
        <v>1053</v>
      </c>
      <c r="C33" s="942">
        <f>mo!B37</f>
        <v>0</v>
      </c>
      <c r="D33" s="955"/>
      <c r="E33" s="942">
        <f>mo!C37</f>
        <v>0</v>
      </c>
      <c r="F33" s="1056"/>
    </row>
    <row r="34" spans="1:6" ht="84">
      <c r="A34" s="1010" t="s">
        <v>301</v>
      </c>
      <c r="B34" s="952" t="s">
        <v>1229</v>
      </c>
      <c r="C34" s="942"/>
      <c r="D34" s="955"/>
      <c r="E34" s="942"/>
      <c r="F34" s="1056"/>
    </row>
    <row r="35" spans="1:6" ht="72">
      <c r="A35" s="1014" t="s">
        <v>1077</v>
      </c>
      <c r="B35" s="952" t="s">
        <v>1053</v>
      </c>
      <c r="C35" s="942">
        <f>mo!B35</f>
        <v>612300</v>
      </c>
      <c r="D35" s="955"/>
      <c r="E35" s="942">
        <f>mo!C35</f>
        <v>0</v>
      </c>
      <c r="F35" s="1056"/>
    </row>
    <row r="36" spans="1:6" ht="48">
      <c r="A36" s="1014" t="s">
        <v>859</v>
      </c>
      <c r="B36" s="952" t="s">
        <v>860</v>
      </c>
      <c r="C36" s="942">
        <f>mo!B40</f>
        <v>0</v>
      </c>
      <c r="D36" s="955"/>
      <c r="E36" s="942">
        <v>0</v>
      </c>
      <c r="F36" s="1056"/>
    </row>
    <row r="37" spans="1:6" ht="48">
      <c r="A37" s="1010" t="s">
        <v>1158</v>
      </c>
      <c r="B37" s="944" t="s">
        <v>1226</v>
      </c>
      <c r="C37" s="956">
        <f>mo!B30</f>
        <v>0</v>
      </c>
      <c r="D37" s="957"/>
      <c r="E37" s="958">
        <f>mo!C30</f>
        <v>0</v>
      </c>
      <c r="F37" s="1056"/>
    </row>
    <row r="38" spans="1:6" ht="48">
      <c r="A38" s="1016" t="s">
        <v>1584</v>
      </c>
      <c r="B38" s="959" t="s">
        <v>2081</v>
      </c>
      <c r="C38" s="947">
        <f>mo!B38</f>
        <v>341500</v>
      </c>
      <c r="D38" s="960"/>
      <c r="E38" s="947">
        <f>mo!C38</f>
        <v>50783.62</v>
      </c>
      <c r="F38" s="1056"/>
    </row>
    <row r="39" spans="1:6" ht="24">
      <c r="A39" s="1432" t="s">
        <v>12</v>
      </c>
      <c r="B39" s="1013" t="s">
        <v>111</v>
      </c>
      <c r="C39" s="942"/>
      <c r="D39" s="943"/>
      <c r="E39" s="942"/>
      <c r="F39" s="1056"/>
    </row>
    <row r="40" spans="1:6" ht="12.75" thickBot="1">
      <c r="A40" s="1427" t="s">
        <v>1080</v>
      </c>
      <c r="B40" s="1428"/>
      <c r="C40" s="1429">
        <f>C6+C25</f>
        <v>23081700</v>
      </c>
      <c r="D40" s="1430">
        <f>D6+D25</f>
        <v>0</v>
      </c>
      <c r="E40" s="1431">
        <f>E6+E25+E39</f>
        <v>5124117.72</v>
      </c>
      <c r="F40" s="1056"/>
    </row>
    <row r="41" spans="1:6" ht="12">
      <c r="A41" s="1000" t="s">
        <v>1081</v>
      </c>
      <c r="B41" s="1000"/>
      <c r="C41" s="964"/>
      <c r="D41" s="1019"/>
      <c r="E41" s="964"/>
      <c r="F41" s="1056"/>
    </row>
    <row r="42" spans="1:6" ht="36.75" thickBot="1">
      <c r="A42" s="1020" t="s">
        <v>74</v>
      </c>
      <c r="B42" s="1020" t="s">
        <v>216</v>
      </c>
      <c r="C42" s="1021" t="s">
        <v>1042</v>
      </c>
      <c r="D42" s="1022" t="s">
        <v>1082</v>
      </c>
      <c r="E42" s="1021" t="s">
        <v>688</v>
      </c>
      <c r="F42" s="1056"/>
    </row>
    <row r="43" spans="1:6" ht="12.75" thickBot="1">
      <c r="A43" s="1023" t="s">
        <v>75</v>
      </c>
      <c r="B43" s="989" t="s">
        <v>1083</v>
      </c>
      <c r="C43" s="961" t="e">
        <f>SUM(C44:C57)</f>
        <v>#REF!</v>
      </c>
      <c r="D43" s="935">
        <f>D58+D63+D67+D83</f>
        <v>0</v>
      </c>
      <c r="E43" s="936" t="e">
        <f>SUM(E44:E57)</f>
        <v>#REF!</v>
      </c>
      <c r="F43" s="1056"/>
    </row>
    <row r="44" spans="1:6" ht="12">
      <c r="A44" s="1025" t="s">
        <v>77</v>
      </c>
      <c r="B44" s="997" t="s">
        <v>1084</v>
      </c>
      <c r="C44" s="962">
        <f t="shared" ref="C44:E46" si="0">C59+C68</f>
        <v>8301000</v>
      </c>
      <c r="D44" s="940">
        <f t="shared" si="0"/>
        <v>0</v>
      </c>
      <c r="E44" s="962">
        <f t="shared" si="0"/>
        <v>2141407.13</v>
      </c>
      <c r="F44" s="1056"/>
    </row>
    <row r="45" spans="1:6" ht="12">
      <c r="A45" s="1026" t="s">
        <v>79</v>
      </c>
      <c r="B45" s="993" t="s">
        <v>1085</v>
      </c>
      <c r="C45" s="963">
        <f t="shared" si="0"/>
        <v>1917450</v>
      </c>
      <c r="D45" s="943">
        <f t="shared" si="0"/>
        <v>0</v>
      </c>
      <c r="E45" s="963">
        <f t="shared" si="0"/>
        <v>607166.56999999995</v>
      </c>
      <c r="F45" s="1056"/>
    </row>
    <row r="46" spans="1:6" ht="12">
      <c r="A46" s="1026" t="s">
        <v>81</v>
      </c>
      <c r="B46" s="993" t="s">
        <v>1086</v>
      </c>
      <c r="C46" s="963">
        <f t="shared" si="0"/>
        <v>612000</v>
      </c>
      <c r="D46" s="943">
        <f t="shared" si="0"/>
        <v>0</v>
      </c>
      <c r="E46" s="963">
        <f t="shared" si="0"/>
        <v>97313.34</v>
      </c>
      <c r="F46" s="1056"/>
    </row>
    <row r="47" spans="1:6" ht="12">
      <c r="A47" s="1026" t="s">
        <v>83</v>
      </c>
      <c r="B47" s="993" t="s">
        <v>1087</v>
      </c>
      <c r="C47" s="963">
        <f t="shared" ref="C47:E48" si="1">C71</f>
        <v>200000</v>
      </c>
      <c r="D47" s="943">
        <f t="shared" si="1"/>
        <v>0</v>
      </c>
      <c r="E47" s="963">
        <f t="shared" si="1"/>
        <v>42696.94</v>
      </c>
      <c r="F47" s="1056"/>
    </row>
    <row r="48" spans="1:6" ht="12">
      <c r="A48" s="1026" t="s">
        <v>85</v>
      </c>
      <c r="B48" s="993" t="s">
        <v>1088</v>
      </c>
      <c r="C48" s="963">
        <f t="shared" si="1"/>
        <v>20000</v>
      </c>
      <c r="D48" s="943">
        <f t="shared" si="1"/>
        <v>0</v>
      </c>
      <c r="E48" s="963">
        <f t="shared" si="1"/>
        <v>0</v>
      </c>
      <c r="F48" s="1056"/>
    </row>
    <row r="49" spans="1:6" ht="12">
      <c r="A49" s="1026" t="s">
        <v>87</v>
      </c>
      <c r="B49" s="993" t="s">
        <v>1089</v>
      </c>
      <c r="C49" s="963">
        <f>C73</f>
        <v>260000</v>
      </c>
      <c r="D49" s="943">
        <f>D73</f>
        <v>0</v>
      </c>
      <c r="E49" s="963">
        <f>E73</f>
        <v>10880</v>
      </c>
      <c r="F49" s="1056"/>
    </row>
    <row r="50" spans="1:6" ht="12">
      <c r="A50" s="1026" t="s">
        <v>113</v>
      </c>
      <c r="B50" s="993" t="s">
        <v>115</v>
      </c>
      <c r="C50" s="963">
        <f>C74</f>
        <v>0</v>
      </c>
      <c r="D50" s="943"/>
      <c r="E50" s="963">
        <f>E74</f>
        <v>0</v>
      </c>
      <c r="F50" s="1056"/>
    </row>
    <row r="51" spans="1:6" ht="12">
      <c r="A51" s="1026" t="s">
        <v>89</v>
      </c>
      <c r="B51" s="993" t="s">
        <v>1090</v>
      </c>
      <c r="C51" s="963">
        <f>C75</f>
        <v>234000</v>
      </c>
      <c r="D51" s="943">
        <f>D75</f>
        <v>0</v>
      </c>
      <c r="E51" s="963">
        <f>E75</f>
        <v>11010</v>
      </c>
      <c r="F51" s="1056"/>
    </row>
    <row r="52" spans="1:6" ht="12">
      <c r="A52" s="1026" t="s">
        <v>91</v>
      </c>
      <c r="B52" s="993" t="s">
        <v>1091</v>
      </c>
      <c r="C52" s="963">
        <f>C76+C64</f>
        <v>0</v>
      </c>
      <c r="D52" s="943">
        <f>D76+D64</f>
        <v>0</v>
      </c>
      <c r="E52" s="963">
        <f>E76+E64</f>
        <v>0</v>
      </c>
      <c r="F52" s="1056"/>
    </row>
    <row r="53" spans="1:6" ht="12">
      <c r="A53" s="1026" t="s">
        <v>1092</v>
      </c>
      <c r="B53" s="993" t="s">
        <v>1093</v>
      </c>
      <c r="C53" s="963">
        <v>0</v>
      </c>
      <c r="D53" s="943">
        <f>D139</f>
        <v>0</v>
      </c>
      <c r="E53" s="963">
        <f>E139</f>
        <v>0</v>
      </c>
      <c r="F53" s="1056"/>
    </row>
    <row r="54" spans="1:6" ht="12">
      <c r="A54" s="1026" t="s">
        <v>1094</v>
      </c>
      <c r="B54" s="993" t="s">
        <v>1095</v>
      </c>
      <c r="C54" s="963">
        <f>C77</f>
        <v>0</v>
      </c>
      <c r="D54" s="943">
        <f>D77</f>
        <v>0</v>
      </c>
      <c r="E54" s="963">
        <f>E77</f>
        <v>0</v>
      </c>
      <c r="F54" s="1056"/>
    </row>
    <row r="55" spans="1:6" ht="12">
      <c r="A55" s="1026" t="s">
        <v>95</v>
      </c>
      <c r="B55" s="993" t="s">
        <v>1096</v>
      </c>
      <c r="C55" s="963">
        <f>C65+C78+C82+C84</f>
        <v>100000</v>
      </c>
      <c r="D55" s="943">
        <f>D65+D78+D82+D84</f>
        <v>0</v>
      </c>
      <c r="E55" s="963">
        <f>E65+E78+E82+E84</f>
        <v>72655.490000000005</v>
      </c>
      <c r="F55" s="1056"/>
    </row>
    <row r="56" spans="1:6" ht="24">
      <c r="A56" s="1026" t="s">
        <v>97</v>
      </c>
      <c r="B56" s="993" t="s">
        <v>1097</v>
      </c>
      <c r="C56" s="945" t="e">
        <f t="shared" ref="C56:E57" si="2">C79</f>
        <v>#REF!</v>
      </c>
      <c r="D56" s="943">
        <f t="shared" si="2"/>
        <v>0</v>
      </c>
      <c r="E56" s="945" t="e">
        <f t="shared" si="2"/>
        <v>#REF!</v>
      </c>
      <c r="F56" s="1056"/>
    </row>
    <row r="57" spans="1:6" ht="24.75" thickBot="1">
      <c r="A57" s="1020" t="s">
        <v>100</v>
      </c>
      <c r="B57" s="994" t="s">
        <v>1098</v>
      </c>
      <c r="C57" s="964" t="e">
        <f>C80+C66</f>
        <v>#REF!</v>
      </c>
      <c r="D57" s="948">
        <f t="shared" si="2"/>
        <v>0</v>
      </c>
      <c r="E57" s="964" t="e">
        <f t="shared" si="2"/>
        <v>#REF!</v>
      </c>
      <c r="F57" s="1056"/>
    </row>
    <row r="58" spans="1:6" ht="36.75" thickBot="1">
      <c r="A58" s="1027" t="s">
        <v>1099</v>
      </c>
      <c r="B58" s="989" t="s">
        <v>1100</v>
      </c>
      <c r="C58" s="971">
        <f>SUM(C59:C61)</f>
        <v>1671450</v>
      </c>
      <c r="D58" s="972"/>
      <c r="E58" s="973">
        <f>SUM(E59:E61)</f>
        <v>361745.1</v>
      </c>
      <c r="F58" s="1056"/>
    </row>
    <row r="59" spans="1:6" ht="12">
      <c r="A59" s="1025" t="s">
        <v>77</v>
      </c>
      <c r="B59" s="997" t="s">
        <v>1101</v>
      </c>
      <c r="C59" s="969">
        <f>mo!B71</f>
        <v>1342000</v>
      </c>
      <c r="D59" s="974"/>
      <c r="E59" s="969">
        <f>mo!C71</f>
        <v>288140.40999999997</v>
      </c>
      <c r="F59" s="1056"/>
    </row>
    <row r="60" spans="1:6" ht="12">
      <c r="A60" s="1026" t="s">
        <v>79</v>
      </c>
      <c r="B60" s="993" t="s">
        <v>1102</v>
      </c>
      <c r="C60" s="975">
        <f>mo!B72</f>
        <v>17450</v>
      </c>
      <c r="D60" s="976"/>
      <c r="E60" s="975">
        <f>mo!C72</f>
        <v>17450</v>
      </c>
      <c r="F60" s="1056"/>
    </row>
    <row r="61" spans="1:6" ht="12">
      <c r="A61" s="1026" t="s">
        <v>81</v>
      </c>
      <c r="B61" s="993" t="s">
        <v>1103</v>
      </c>
      <c r="C61" s="975">
        <f>mo!B73</f>
        <v>312000</v>
      </c>
      <c r="D61" s="976"/>
      <c r="E61" s="975">
        <f>mo!C73</f>
        <v>56154.69</v>
      </c>
      <c r="F61" s="1056"/>
    </row>
    <row r="62" spans="1:6" ht="12.75" thickBot="1">
      <c r="A62" s="1020" t="s">
        <v>85</v>
      </c>
      <c r="B62" s="994" t="s">
        <v>1104</v>
      </c>
      <c r="C62" s="970"/>
      <c r="D62" s="977"/>
      <c r="E62" s="970"/>
      <c r="F62" s="1056"/>
    </row>
    <row r="63" spans="1:6" ht="24.75" thickBot="1">
      <c r="A63" s="1023" t="s">
        <v>1105</v>
      </c>
      <c r="B63" s="989" t="s">
        <v>1106</v>
      </c>
      <c r="C63" s="934">
        <f>C64+C65+C66</f>
        <v>0</v>
      </c>
      <c r="D63" s="935"/>
      <c r="E63" s="936">
        <f>SUM(E64:E65)</f>
        <v>0</v>
      </c>
      <c r="F63" s="1056"/>
    </row>
    <row r="64" spans="1:6" ht="12">
      <c r="A64" s="1081" t="s">
        <v>91</v>
      </c>
      <c r="B64" s="1082" t="s">
        <v>1107</v>
      </c>
      <c r="C64" s="969">
        <f>mo!B79</f>
        <v>0</v>
      </c>
      <c r="D64" s="974"/>
      <c r="E64" s="969">
        <f>mo!C79</f>
        <v>0</v>
      </c>
      <c r="F64" s="1056"/>
    </row>
    <row r="65" spans="1:6" ht="12">
      <c r="A65" s="1020" t="s">
        <v>95</v>
      </c>
      <c r="B65" s="994" t="s">
        <v>1108</v>
      </c>
      <c r="C65" s="970">
        <f>mo!B83</f>
        <v>0</v>
      </c>
      <c r="D65" s="977"/>
      <c r="E65" s="970">
        <f>mo!C83</f>
        <v>0</v>
      </c>
      <c r="F65" s="1056"/>
    </row>
    <row r="66" spans="1:6" ht="24.75" thickBot="1">
      <c r="A66" s="1020" t="s">
        <v>100</v>
      </c>
      <c r="B66" s="994" t="s">
        <v>1235</v>
      </c>
      <c r="C66" s="970">
        <f>mo!B85</f>
        <v>0</v>
      </c>
      <c r="D66" s="1050"/>
      <c r="E66" s="1119"/>
      <c r="F66" s="1056"/>
    </row>
    <row r="67" spans="1:6" ht="48.75" thickBot="1">
      <c r="A67" s="1027" t="s">
        <v>1109</v>
      </c>
      <c r="B67" s="989" t="s">
        <v>1110</v>
      </c>
      <c r="C67" s="971" t="e">
        <f>SUM(C68:C80)</f>
        <v>#REF!</v>
      </c>
      <c r="D67" s="972"/>
      <c r="E67" s="973" t="e">
        <f>SUM(E68:E80)</f>
        <v>#REF!</v>
      </c>
      <c r="F67" s="1056"/>
    </row>
    <row r="68" spans="1:6" ht="12">
      <c r="A68" s="1025" t="s">
        <v>77</v>
      </c>
      <c r="B68" s="997" t="s">
        <v>1111</v>
      </c>
      <c r="C68" s="939">
        <f>mo!B87</f>
        <v>6959000</v>
      </c>
      <c r="D68" s="965"/>
      <c r="E68" s="939">
        <f>mo!C87</f>
        <v>1853266.72</v>
      </c>
      <c r="F68" s="1056"/>
    </row>
    <row r="69" spans="1:6" ht="12">
      <c r="A69" s="1026" t="s">
        <v>79</v>
      </c>
      <c r="B69" s="993" t="s">
        <v>1112</v>
      </c>
      <c r="C69" s="942">
        <f>mo!B88</f>
        <v>1900000</v>
      </c>
      <c r="D69" s="950"/>
      <c r="E69" s="942">
        <f>mo!C88</f>
        <v>589716.56999999995</v>
      </c>
      <c r="F69" s="1056"/>
    </row>
    <row r="70" spans="1:6" ht="12">
      <c r="A70" s="1026" t="s">
        <v>81</v>
      </c>
      <c r="B70" s="993" t="s">
        <v>1113</v>
      </c>
      <c r="C70" s="942">
        <f>mo!B89</f>
        <v>300000</v>
      </c>
      <c r="D70" s="950"/>
      <c r="E70" s="942">
        <f>mo!C89</f>
        <v>41158.65</v>
      </c>
      <c r="F70" s="1056"/>
    </row>
    <row r="71" spans="1:6" ht="12">
      <c r="A71" s="1026" t="s">
        <v>83</v>
      </c>
      <c r="B71" s="993" t="s">
        <v>1114</v>
      </c>
      <c r="C71" s="942">
        <f>mo!B95</f>
        <v>200000</v>
      </c>
      <c r="D71" s="950"/>
      <c r="E71" s="942">
        <f>mo!C95</f>
        <v>42696.94</v>
      </c>
      <c r="F71" s="1056"/>
    </row>
    <row r="72" spans="1:6" ht="12">
      <c r="A72" s="1026" t="s">
        <v>85</v>
      </c>
      <c r="B72" s="993" t="s">
        <v>1115</v>
      </c>
      <c r="C72" s="942">
        <f>mo!B96</f>
        <v>20000</v>
      </c>
      <c r="D72" s="950"/>
      <c r="E72" s="942">
        <f>mo!C96</f>
        <v>0</v>
      </c>
      <c r="F72" s="1056"/>
    </row>
    <row r="73" spans="1:6" ht="12">
      <c r="A73" s="1026" t="s">
        <v>87</v>
      </c>
      <c r="B73" s="993" t="s">
        <v>1116</v>
      </c>
      <c r="C73" s="942">
        <f>mo!B97</f>
        <v>260000</v>
      </c>
      <c r="D73" s="950"/>
      <c r="E73" s="942">
        <f>mo!C97</f>
        <v>10880</v>
      </c>
      <c r="F73" s="1056"/>
    </row>
    <row r="74" spans="1:6" ht="12">
      <c r="A74" s="1026" t="s">
        <v>113</v>
      </c>
      <c r="B74" s="993" t="s">
        <v>114</v>
      </c>
      <c r="C74" s="942">
        <f>mo!B98</f>
        <v>0</v>
      </c>
      <c r="D74" s="950"/>
      <c r="E74" s="942">
        <f>mo!C98</f>
        <v>0</v>
      </c>
      <c r="F74" s="1056"/>
    </row>
    <row r="75" spans="1:6" ht="12">
      <c r="A75" s="1026" t="s">
        <v>89</v>
      </c>
      <c r="B75" s="993" t="s">
        <v>1117</v>
      </c>
      <c r="C75" s="942">
        <f>mo!B99</f>
        <v>234000</v>
      </c>
      <c r="D75" s="950"/>
      <c r="E75" s="942">
        <f>mo!C99</f>
        <v>11010</v>
      </c>
      <c r="F75" s="1056"/>
    </row>
    <row r="76" spans="1:6" ht="12">
      <c r="A76" s="1026" t="s">
        <v>91</v>
      </c>
      <c r="B76" s="993" t="s">
        <v>1118</v>
      </c>
      <c r="C76" s="942">
        <f>mo!B100</f>
        <v>0</v>
      </c>
      <c r="D76" s="950"/>
      <c r="E76" s="942">
        <f>mo!C100</f>
        <v>0</v>
      </c>
      <c r="F76" s="1056"/>
    </row>
    <row r="77" spans="1:6" ht="12">
      <c r="A77" s="1026" t="s">
        <v>1094</v>
      </c>
      <c r="B77" s="993" t="s">
        <v>1119</v>
      </c>
      <c r="C77" s="942"/>
      <c r="D77" s="950"/>
      <c r="E77" s="942"/>
      <c r="F77" s="1056"/>
    </row>
    <row r="78" spans="1:6" ht="12">
      <c r="A78" s="1026" t="s">
        <v>95</v>
      </c>
      <c r="B78" s="993" t="s">
        <v>1120</v>
      </c>
      <c r="C78" s="942">
        <f>mo!B102</f>
        <v>100000</v>
      </c>
      <c r="D78" s="950"/>
      <c r="E78" s="942">
        <f>mo!C102</f>
        <v>72655.490000000005</v>
      </c>
      <c r="F78" s="1056"/>
    </row>
    <row r="79" spans="1:6" ht="24">
      <c r="A79" s="1026" t="s">
        <v>97</v>
      </c>
      <c r="B79" s="993" t="s">
        <v>1121</v>
      </c>
      <c r="C79" s="942" t="e">
        <f>mo!#REF!</f>
        <v>#REF!</v>
      </c>
      <c r="D79" s="950"/>
      <c r="E79" s="942" t="e">
        <f>mo!#REF!</f>
        <v>#REF!</v>
      </c>
      <c r="F79" s="1056"/>
    </row>
    <row r="80" spans="1:6" ht="24.75" thickBot="1">
      <c r="A80" s="1020" t="s">
        <v>100</v>
      </c>
      <c r="B80" s="994" t="s">
        <v>1122</v>
      </c>
      <c r="C80" s="947" t="e">
        <f>mo!#REF!</f>
        <v>#REF!</v>
      </c>
      <c r="D80" s="966"/>
      <c r="E80" s="947" t="e">
        <f>mo!#REF!</f>
        <v>#REF!</v>
      </c>
      <c r="F80" s="1056"/>
    </row>
    <row r="81" spans="1:6" ht="12.75" thickBot="1">
      <c r="A81" s="1027" t="s">
        <v>1123</v>
      </c>
      <c r="B81" s="989" t="s">
        <v>1124</v>
      </c>
      <c r="C81" s="978">
        <f>C82</f>
        <v>0</v>
      </c>
      <c r="D81" s="979"/>
      <c r="E81" s="980">
        <f>E82</f>
        <v>0</v>
      </c>
      <c r="F81" s="1056"/>
    </row>
    <row r="82" spans="1:6" ht="12.75" thickBot="1">
      <c r="A82" s="1028" t="s">
        <v>95</v>
      </c>
      <c r="B82" s="995" t="s">
        <v>1125</v>
      </c>
      <c r="C82" s="967">
        <v>0</v>
      </c>
      <c r="D82" s="968"/>
      <c r="E82" s="967">
        <v>0</v>
      </c>
      <c r="F82" s="1056"/>
    </row>
    <row r="83" spans="1:6" ht="12.75" thickBot="1">
      <c r="A83" s="1027" t="s">
        <v>128</v>
      </c>
      <c r="B83" s="989" t="s">
        <v>1126</v>
      </c>
      <c r="C83" s="978">
        <f>C84</f>
        <v>0</v>
      </c>
      <c r="D83" s="979"/>
      <c r="E83" s="980">
        <f>E84</f>
        <v>0</v>
      </c>
      <c r="F83" s="1056"/>
    </row>
    <row r="84" spans="1:6" ht="12.75" thickBot="1">
      <c r="A84" s="1028" t="s">
        <v>95</v>
      </c>
      <c r="B84" s="995" t="s">
        <v>1127</v>
      </c>
      <c r="C84" s="967">
        <f>mo!B114</f>
        <v>0</v>
      </c>
      <c r="D84" s="968"/>
      <c r="E84" s="967">
        <f>mo!C114</f>
        <v>0</v>
      </c>
      <c r="F84" s="1056"/>
    </row>
    <row r="85" spans="1:6" ht="12.75" thickBot="1">
      <c r="A85" s="1023" t="s">
        <v>1128</v>
      </c>
      <c r="B85" s="989" t="s">
        <v>1129</v>
      </c>
      <c r="C85" s="981" t="e">
        <f>SUM(C86:C91)</f>
        <v>#REF!</v>
      </c>
      <c r="D85" s="982"/>
      <c r="E85" s="983" t="e">
        <f>SUM(E86:E91)</f>
        <v>#REF!</v>
      </c>
      <c r="F85" s="1056"/>
    </row>
    <row r="86" spans="1:6" ht="24">
      <c r="A86" s="1025" t="s">
        <v>1130</v>
      </c>
      <c r="B86" s="997" t="s">
        <v>1131</v>
      </c>
      <c r="C86" s="939">
        <f>mo!B118</f>
        <v>235000</v>
      </c>
      <c r="D86" s="965"/>
      <c r="E86" s="939">
        <f>mo!C118</f>
        <v>42448</v>
      </c>
      <c r="F86" s="1056"/>
    </row>
    <row r="87" spans="1:6" ht="12">
      <c r="A87" s="1026" t="s">
        <v>79</v>
      </c>
      <c r="B87" s="993" t="s">
        <v>1132</v>
      </c>
      <c r="C87" s="942"/>
      <c r="D87" s="950"/>
      <c r="E87" s="942"/>
      <c r="F87" s="1056"/>
    </row>
    <row r="88" spans="1:6" ht="12">
      <c r="A88" s="1026" t="s">
        <v>1133</v>
      </c>
      <c r="B88" s="993" t="s">
        <v>1134</v>
      </c>
      <c r="C88" s="942">
        <f>mo!B123</f>
        <v>6900</v>
      </c>
      <c r="D88" s="950"/>
      <c r="E88" s="942">
        <f>mo!C123</f>
        <v>0</v>
      </c>
      <c r="F88" s="1056"/>
    </row>
    <row r="89" spans="1:6" ht="12">
      <c r="A89" s="1026" t="s">
        <v>83</v>
      </c>
      <c r="B89" s="993" t="s">
        <v>1135</v>
      </c>
      <c r="C89" s="942">
        <f>mo!B124</f>
        <v>13000</v>
      </c>
      <c r="D89" s="950"/>
      <c r="E89" s="942">
        <f>mo!C124</f>
        <v>0</v>
      </c>
      <c r="F89" s="1056"/>
    </row>
    <row r="90" spans="1:6" ht="24">
      <c r="A90" s="1026" t="s">
        <v>97</v>
      </c>
      <c r="B90" s="993" t="s">
        <v>1136</v>
      </c>
      <c r="C90" s="942" t="e">
        <f>mo!#REF!</f>
        <v>#REF!</v>
      </c>
      <c r="D90" s="950"/>
      <c r="E90" s="942" t="e">
        <f>mo!#REF!</f>
        <v>#REF!</v>
      </c>
      <c r="F90" s="1056"/>
    </row>
    <row r="91" spans="1:6" ht="24.75" thickBot="1">
      <c r="A91" s="1020" t="s">
        <v>100</v>
      </c>
      <c r="B91" s="994" t="s">
        <v>1137</v>
      </c>
      <c r="C91" s="947" t="e">
        <f>mo!#REF!</f>
        <v>#REF!</v>
      </c>
      <c r="D91" s="966"/>
      <c r="E91" s="947" t="e">
        <f>mo!#REF!</f>
        <v>#REF!</v>
      </c>
      <c r="F91" s="1056"/>
    </row>
    <row r="92" spans="1:6" ht="12.75" thickBot="1">
      <c r="A92" s="1027" t="s">
        <v>1138</v>
      </c>
      <c r="B92" s="989" t="s">
        <v>1139</v>
      </c>
      <c r="C92" s="978">
        <f>SUM(C93:C95)</f>
        <v>100000</v>
      </c>
      <c r="D92" s="979"/>
      <c r="E92" s="980">
        <f>SUM(E93:E95)</f>
        <v>0</v>
      </c>
      <c r="F92" s="1056"/>
    </row>
    <row r="93" spans="1:6" ht="12">
      <c r="A93" s="1025" t="s">
        <v>1138</v>
      </c>
      <c r="B93" s="997" t="s">
        <v>1140</v>
      </c>
      <c r="C93" s="939">
        <f>mo!B132</f>
        <v>0</v>
      </c>
      <c r="D93" s="965"/>
      <c r="E93" s="939">
        <f>mo!C132</f>
        <v>0</v>
      </c>
      <c r="F93" s="1056"/>
    </row>
    <row r="94" spans="1:6" ht="24">
      <c r="A94" s="1020" t="s">
        <v>1164</v>
      </c>
      <c r="B94" s="994" t="s">
        <v>669</v>
      </c>
      <c r="C94" s="967">
        <f>mo!B138</f>
        <v>0</v>
      </c>
      <c r="D94" s="968"/>
      <c r="E94" s="967">
        <f>mo!C138</f>
        <v>0</v>
      </c>
      <c r="F94" s="1056"/>
    </row>
    <row r="95" spans="1:6" ht="24.75" thickBot="1">
      <c r="A95" s="1020" t="s">
        <v>1937</v>
      </c>
      <c r="B95" s="994" t="s">
        <v>1165</v>
      </c>
      <c r="C95" s="947">
        <f>mo!B139</f>
        <v>100000</v>
      </c>
      <c r="D95" s="966"/>
      <c r="E95" s="947">
        <f>mo!C139</f>
        <v>0</v>
      </c>
      <c r="F95" s="1056"/>
    </row>
    <row r="96" spans="1:6" ht="12.75" thickBot="1">
      <c r="A96" s="1027" t="s">
        <v>137</v>
      </c>
      <c r="B96" s="989" t="s">
        <v>1239</v>
      </c>
      <c r="C96" s="981">
        <f>C97+C98+C99+C100+C101</f>
        <v>2296000</v>
      </c>
      <c r="D96" s="982"/>
      <c r="E96" s="983">
        <f>E97+E98+E99+E100+E101</f>
        <v>281890</v>
      </c>
      <c r="F96" s="1056"/>
    </row>
    <row r="97" spans="1:6" ht="12">
      <c r="A97" s="1025" t="s">
        <v>1166</v>
      </c>
      <c r="B97" s="997" t="s">
        <v>1167</v>
      </c>
      <c r="C97" s="939">
        <f>mo!B154</f>
        <v>0</v>
      </c>
      <c r="D97" s="965"/>
      <c r="E97" s="939">
        <f>mo!C154</f>
        <v>0</v>
      </c>
      <c r="F97" s="1056"/>
    </row>
    <row r="98" spans="1:6" ht="12">
      <c r="A98" s="1026" t="s">
        <v>81</v>
      </c>
      <c r="B98" s="993" t="s">
        <v>1168</v>
      </c>
      <c r="C98" s="942">
        <f>mo!B155</f>
        <v>0</v>
      </c>
      <c r="D98" s="950"/>
      <c r="E98" s="942">
        <f>mo!C155</f>
        <v>0</v>
      </c>
      <c r="F98" s="1056"/>
    </row>
    <row r="99" spans="1:6" ht="12.75" thickBot="1">
      <c r="A99" s="1020" t="s">
        <v>1169</v>
      </c>
      <c r="B99" s="994" t="s">
        <v>1170</v>
      </c>
      <c r="C99" s="947">
        <f>mo!B156</f>
        <v>500000</v>
      </c>
      <c r="D99" s="966"/>
      <c r="E99" s="947">
        <f>mo!C156</f>
        <v>0</v>
      </c>
      <c r="F99" s="1056"/>
    </row>
    <row r="100" spans="1:6" ht="12.75" thickBot="1">
      <c r="A100" s="1083" t="s">
        <v>91</v>
      </c>
      <c r="B100" s="1084" t="s">
        <v>1171</v>
      </c>
      <c r="C100" s="984">
        <f>mo!B158</f>
        <v>1796000</v>
      </c>
      <c r="D100" s="985"/>
      <c r="E100" s="986">
        <f>mo!C158</f>
        <v>281890</v>
      </c>
      <c r="F100" s="1056"/>
    </row>
    <row r="101" spans="1:6" ht="12.75" thickBot="1">
      <c r="A101" s="1083" t="s">
        <v>91</v>
      </c>
      <c r="B101" s="1084" t="s">
        <v>1172</v>
      </c>
      <c r="C101" s="984"/>
      <c r="D101" s="985"/>
      <c r="E101" s="986"/>
      <c r="F101" s="1056"/>
    </row>
    <row r="102" spans="1:6" ht="12.75" thickBot="1">
      <c r="A102" s="1027" t="s">
        <v>142</v>
      </c>
      <c r="B102" s="989" t="s">
        <v>1173</v>
      </c>
      <c r="C102" s="987" t="e">
        <f>C103+C108+C114</f>
        <v>#REF!</v>
      </c>
      <c r="D102" s="979"/>
      <c r="E102" s="988" t="e">
        <f>E103+E108+E114</f>
        <v>#REF!</v>
      </c>
      <c r="F102" s="1056"/>
    </row>
    <row r="103" spans="1:6" ht="12">
      <c r="A103" s="1123" t="s">
        <v>2034</v>
      </c>
      <c r="B103" s="1124" t="s">
        <v>1174</v>
      </c>
      <c r="C103" s="1125">
        <f>SUM(C104:C107)</f>
        <v>7159900</v>
      </c>
      <c r="D103" s="1126">
        <f>SUM(D104:D107)</f>
        <v>0</v>
      </c>
      <c r="E103" s="1154">
        <f>E104+E107+E106</f>
        <v>179560</v>
      </c>
      <c r="F103" s="1056"/>
    </row>
    <row r="104" spans="1:6" ht="36">
      <c r="A104" s="1026" t="s">
        <v>144</v>
      </c>
      <c r="B104" s="1128" t="s">
        <v>1175</v>
      </c>
      <c r="C104" s="1065">
        <f>mo!B169</f>
        <v>5547600</v>
      </c>
      <c r="D104" s="1066"/>
      <c r="E104" s="1065">
        <f>mo!C169</f>
        <v>130927</v>
      </c>
      <c r="F104" s="1056"/>
    </row>
    <row r="105" spans="1:6" ht="12">
      <c r="A105" s="1026" t="s">
        <v>91</v>
      </c>
      <c r="B105" s="1128" t="s">
        <v>671</v>
      </c>
      <c r="C105" s="1065">
        <f>mo!B175</f>
        <v>0</v>
      </c>
      <c r="D105" s="1066"/>
      <c r="E105" s="1065">
        <f>mo!C175</f>
        <v>0</v>
      </c>
      <c r="F105" s="1056"/>
    </row>
    <row r="106" spans="1:6" ht="24">
      <c r="A106" s="1026" t="s">
        <v>97</v>
      </c>
      <c r="B106" s="1128" t="s">
        <v>672</v>
      </c>
      <c r="C106" s="1065">
        <f>mo!B178</f>
        <v>612300</v>
      </c>
      <c r="D106" s="1066"/>
      <c r="E106" s="1065">
        <f>mo!C178</f>
        <v>0</v>
      </c>
      <c r="F106" s="1056"/>
    </row>
    <row r="107" spans="1:6" ht="24.75" thickBot="1">
      <c r="A107" s="1020" t="s">
        <v>100</v>
      </c>
      <c r="B107" s="994" t="s">
        <v>116</v>
      </c>
      <c r="C107" s="937">
        <f>mo!B180</f>
        <v>1000000</v>
      </c>
      <c r="D107" s="992"/>
      <c r="E107" s="937">
        <f>mo!C180</f>
        <v>48633</v>
      </c>
      <c r="F107" s="1056"/>
    </row>
    <row r="108" spans="1:6" ht="12">
      <c r="A108" s="1123" t="s">
        <v>1177</v>
      </c>
      <c r="B108" s="1124" t="s">
        <v>1464</v>
      </c>
      <c r="C108" s="1125">
        <f>C110+C112+C109+C111+C113</f>
        <v>620000</v>
      </c>
      <c r="D108" s="1126">
        <f>D110+D112</f>
        <v>0</v>
      </c>
      <c r="E108" s="1127">
        <f>E110+E112+E109</f>
        <v>120456.32000000001</v>
      </c>
      <c r="F108" s="1056"/>
    </row>
    <row r="109" spans="1:6" ht="12">
      <c r="A109" s="1051" t="s">
        <v>2320</v>
      </c>
      <c r="B109" s="1128" t="s">
        <v>2321</v>
      </c>
      <c r="C109" s="1129">
        <f>mo!B186</f>
        <v>200000</v>
      </c>
      <c r="D109" s="1130"/>
      <c r="E109" s="1129">
        <f>mo!C186</f>
        <v>120456.32000000001</v>
      </c>
      <c r="F109" s="1056"/>
    </row>
    <row r="110" spans="1:6" ht="12">
      <c r="A110" s="1081" t="s">
        <v>89</v>
      </c>
      <c r="B110" s="1085" t="s">
        <v>1178</v>
      </c>
      <c r="C110" s="939">
        <f>mo!B188</f>
        <v>220000</v>
      </c>
      <c r="D110" s="965"/>
      <c r="E110" s="939">
        <f>mo!C188</f>
        <v>0</v>
      </c>
      <c r="F110" s="1056"/>
    </row>
    <row r="111" spans="1:6" ht="12">
      <c r="A111" s="1026" t="s">
        <v>91</v>
      </c>
      <c r="B111" s="1433" t="s">
        <v>112</v>
      </c>
      <c r="C111" s="967">
        <f>mo!B189</f>
        <v>0</v>
      </c>
      <c r="D111" s="968"/>
      <c r="E111" s="967"/>
      <c r="F111" s="1056"/>
    </row>
    <row r="112" spans="1:6" ht="12">
      <c r="A112" s="1020" t="s">
        <v>1176</v>
      </c>
      <c r="B112" s="1086" t="s">
        <v>1179</v>
      </c>
      <c r="C112" s="947">
        <f>mo!B191</f>
        <v>0</v>
      </c>
      <c r="D112" s="966"/>
      <c r="E112" s="947">
        <f>mo!C191</f>
        <v>0</v>
      </c>
      <c r="F112" s="1056"/>
    </row>
    <row r="113" spans="1:6" ht="12.75" thickBot="1">
      <c r="A113" s="1020" t="s">
        <v>1169</v>
      </c>
      <c r="B113" s="1086" t="s">
        <v>1253</v>
      </c>
      <c r="C113" s="967">
        <f>mo!B192</f>
        <v>200000</v>
      </c>
      <c r="D113" s="968"/>
      <c r="E113" s="1177">
        <f>mo!C192</f>
        <v>0</v>
      </c>
      <c r="F113" s="1056"/>
    </row>
    <row r="114" spans="1:6" ht="12">
      <c r="A114" s="1123" t="s">
        <v>2041</v>
      </c>
      <c r="B114" s="1124" t="s">
        <v>1180</v>
      </c>
      <c r="C114" s="1125" t="e">
        <f>SUM(C115:C119)</f>
        <v>#REF!</v>
      </c>
      <c r="D114" s="1126">
        <f>SUM(D115:D119)</f>
        <v>0</v>
      </c>
      <c r="E114" s="1127" t="e">
        <f>SUM(E115:E119)</f>
        <v>#REF!</v>
      </c>
      <c r="F114" s="1056"/>
    </row>
    <row r="115" spans="1:6" ht="12">
      <c r="A115" s="1026" t="s">
        <v>85</v>
      </c>
      <c r="B115" s="1128" t="s">
        <v>108</v>
      </c>
      <c r="C115" s="945">
        <f>mo!B200</f>
        <v>0</v>
      </c>
      <c r="D115" s="943"/>
      <c r="E115" s="945"/>
      <c r="F115" s="1056"/>
    </row>
    <row r="116" spans="1:6" ht="12">
      <c r="A116" s="1026" t="s">
        <v>91</v>
      </c>
      <c r="B116" s="1128" t="s">
        <v>1936</v>
      </c>
      <c r="C116" s="945">
        <f>mo!B199</f>
        <v>150000</v>
      </c>
      <c r="D116" s="943"/>
      <c r="E116" s="945">
        <f>mo!C199</f>
        <v>47616.75</v>
      </c>
      <c r="F116" s="1056"/>
    </row>
    <row r="117" spans="1:6" ht="24">
      <c r="A117" s="1026" t="s">
        <v>97</v>
      </c>
      <c r="B117" s="993" t="s">
        <v>1182</v>
      </c>
      <c r="C117" s="942">
        <f>mo!B206</f>
        <v>0</v>
      </c>
      <c r="D117" s="950"/>
      <c r="E117" s="942">
        <f>mo!C206</f>
        <v>0</v>
      </c>
      <c r="F117" s="1056"/>
    </row>
    <row r="118" spans="1:6" ht="24">
      <c r="A118" s="1020" t="s">
        <v>100</v>
      </c>
      <c r="B118" s="993" t="s">
        <v>1943</v>
      </c>
      <c r="C118" s="947" t="e">
        <f>mo!#REF!</f>
        <v>#REF!</v>
      </c>
      <c r="D118" s="966"/>
      <c r="E118" s="947" t="e">
        <f>mo!#REF!</f>
        <v>#REF!</v>
      </c>
      <c r="F118" s="1056"/>
    </row>
    <row r="119" spans="1:6" ht="48.75" thickBot="1">
      <c r="A119" s="1020" t="s">
        <v>300</v>
      </c>
      <c r="B119" s="994" t="s">
        <v>291</v>
      </c>
      <c r="C119" s="947">
        <f>mo!B198</f>
        <v>200000</v>
      </c>
      <c r="D119" s="966"/>
      <c r="E119" s="947">
        <f>mo!C198</f>
        <v>8821.5400000000009</v>
      </c>
      <c r="F119" s="1056"/>
    </row>
    <row r="120" spans="1:6" ht="24.75" thickBot="1">
      <c r="A120" s="1023" t="s">
        <v>1184</v>
      </c>
      <c r="B120" s="990" t="s">
        <v>1185</v>
      </c>
      <c r="C120" s="981">
        <f>C121</f>
        <v>0</v>
      </c>
      <c r="D120" s="982">
        <f>D121</f>
        <v>0</v>
      </c>
      <c r="E120" s="983">
        <f>E121</f>
        <v>0</v>
      </c>
      <c r="F120" s="1056"/>
    </row>
    <row r="121" spans="1:6" ht="36.75" thickBot="1">
      <c r="A121" s="1028" t="s">
        <v>144</v>
      </c>
      <c r="B121" s="995" t="s">
        <v>1186</v>
      </c>
      <c r="C121" s="996"/>
      <c r="D121" s="960"/>
      <c r="E121" s="996"/>
      <c r="F121" s="1056"/>
    </row>
    <row r="122" spans="1:6" ht="12.75" thickBot="1">
      <c r="A122" s="1023" t="s">
        <v>182</v>
      </c>
      <c r="B122" s="989" t="s">
        <v>1703</v>
      </c>
      <c r="C122" s="934">
        <f>C123+C124+C125+C126</f>
        <v>289000</v>
      </c>
      <c r="D122" s="935"/>
      <c r="E122" s="936">
        <f>E123+E124+E126</f>
        <v>34600</v>
      </c>
      <c r="F122" s="1056"/>
    </row>
    <row r="123" spans="1:6" ht="24">
      <c r="A123" s="1025" t="s">
        <v>2000</v>
      </c>
      <c r="B123" s="997" t="s">
        <v>1187</v>
      </c>
      <c r="C123" s="939">
        <f>mo!B214</f>
        <v>220500</v>
      </c>
      <c r="D123" s="965"/>
      <c r="E123" s="939">
        <f>mo!C214</f>
        <v>34600</v>
      </c>
      <c r="F123" s="1056"/>
    </row>
    <row r="124" spans="1:6" ht="12">
      <c r="A124" s="1026" t="s">
        <v>95</v>
      </c>
      <c r="B124" s="993" t="s">
        <v>1188</v>
      </c>
      <c r="C124" s="942">
        <f>mo!B215</f>
        <v>0</v>
      </c>
      <c r="D124" s="950"/>
      <c r="E124" s="942">
        <f>mo!C215</f>
        <v>0</v>
      </c>
      <c r="F124" s="1056"/>
    </row>
    <row r="125" spans="1:6" ht="12">
      <c r="A125" s="1026" t="s">
        <v>1176</v>
      </c>
      <c r="B125" s="993" t="s">
        <v>1189</v>
      </c>
      <c r="C125" s="942">
        <f>mo!B216</f>
        <v>68500</v>
      </c>
      <c r="D125" s="950"/>
      <c r="E125" s="942">
        <f>mo!C216</f>
        <v>2000</v>
      </c>
      <c r="F125" s="1056"/>
    </row>
    <row r="126" spans="1:6" ht="12.75" thickBot="1">
      <c r="A126" s="1020" t="s">
        <v>1169</v>
      </c>
      <c r="B126" s="994" t="s">
        <v>1190</v>
      </c>
      <c r="C126" s="947">
        <f>mo!B217</f>
        <v>0</v>
      </c>
      <c r="D126" s="966"/>
      <c r="E126" s="947">
        <f>mo!C217</f>
        <v>0</v>
      </c>
      <c r="F126" s="1056"/>
    </row>
    <row r="127" spans="1:6" ht="24.75" thickBot="1">
      <c r="A127" s="1027" t="s">
        <v>1191</v>
      </c>
      <c r="B127" s="989" t="s">
        <v>1704</v>
      </c>
      <c r="C127" s="981">
        <f>SUM(C128:C129)</f>
        <v>103000</v>
      </c>
      <c r="D127" s="972"/>
      <c r="E127" s="973">
        <f>E128</f>
        <v>19538</v>
      </c>
      <c r="F127" s="1056"/>
    </row>
    <row r="128" spans="1:6" ht="36">
      <c r="A128" s="1025" t="s">
        <v>1192</v>
      </c>
      <c r="B128" s="997" t="s">
        <v>1193</v>
      </c>
      <c r="C128" s="937">
        <f>mo!B219</f>
        <v>103000</v>
      </c>
      <c r="D128" s="991"/>
      <c r="E128" s="937">
        <f>mo!C219</f>
        <v>19538</v>
      </c>
      <c r="F128" s="1056"/>
    </row>
    <row r="129" spans="1:6" ht="12.75" thickBot="1">
      <c r="A129" s="1020" t="s">
        <v>2258</v>
      </c>
      <c r="B129" s="994" t="s">
        <v>1330</v>
      </c>
      <c r="C129" s="947">
        <f>mo!B222</f>
        <v>0</v>
      </c>
      <c r="D129" s="966"/>
      <c r="E129" s="947">
        <f>mo!C222</f>
        <v>0</v>
      </c>
      <c r="F129" s="1056"/>
    </row>
    <row r="130" spans="1:6" ht="12.75" thickBot="1">
      <c r="A130" s="1023" t="s">
        <v>1195</v>
      </c>
      <c r="B130" s="989" t="s">
        <v>1196</v>
      </c>
      <c r="C130" s="934">
        <f>C131</f>
        <v>0</v>
      </c>
      <c r="D130" s="935"/>
      <c r="E130" s="936">
        <f>E131</f>
        <v>0</v>
      </c>
      <c r="F130" s="1056"/>
    </row>
    <row r="131" spans="1:6" ht="12.75" thickBot="1">
      <c r="A131" s="1028" t="s">
        <v>1197</v>
      </c>
      <c r="B131" s="995" t="s">
        <v>1198</v>
      </c>
      <c r="C131" s="967">
        <f>mo!B224</f>
        <v>0</v>
      </c>
      <c r="D131" s="968"/>
      <c r="E131" s="967">
        <f>mo!C224</f>
        <v>0</v>
      </c>
      <c r="F131" s="1056"/>
    </row>
    <row r="132" spans="1:6" ht="24">
      <c r="A132" s="1453" t="s">
        <v>1199</v>
      </c>
      <c r="B132" s="1134" t="s">
        <v>1200</v>
      </c>
      <c r="C132" s="1151">
        <f>SUM(C133:C137)</f>
        <v>322500</v>
      </c>
      <c r="D132" s="1153"/>
      <c r="E132" s="1154">
        <f>SUM(E133:E137)</f>
        <v>80448</v>
      </c>
      <c r="F132" s="1056"/>
    </row>
    <row r="133" spans="1:6" ht="12">
      <c r="A133" s="1037" t="s">
        <v>914</v>
      </c>
      <c r="B133" s="997" t="s">
        <v>1152</v>
      </c>
      <c r="C133" s="1053">
        <f>mo!B233</f>
        <v>217500</v>
      </c>
      <c r="D133" s="1054"/>
      <c r="E133" s="1053">
        <f>mo!C233</f>
        <v>60248</v>
      </c>
      <c r="F133" s="1056"/>
    </row>
    <row r="134" spans="1:6" ht="12">
      <c r="A134" s="1025" t="s">
        <v>1197</v>
      </c>
      <c r="B134" s="997" t="s">
        <v>1201</v>
      </c>
      <c r="C134" s="939">
        <f>mo!B232</f>
        <v>25000</v>
      </c>
      <c r="D134" s="965"/>
      <c r="E134" s="939">
        <f>mo!C232</f>
        <v>15000</v>
      </c>
      <c r="F134" s="1056"/>
    </row>
    <row r="135" spans="1:6" ht="12">
      <c r="A135" s="1026" t="s">
        <v>95</v>
      </c>
      <c r="B135" s="993" t="s">
        <v>1202</v>
      </c>
      <c r="C135" s="942">
        <f>mo!B234</f>
        <v>10000</v>
      </c>
      <c r="D135" s="950"/>
      <c r="E135" s="942">
        <f>mo!C234</f>
        <v>5200</v>
      </c>
      <c r="F135" s="1056"/>
    </row>
    <row r="136" spans="1:6" ht="12">
      <c r="A136" s="1026" t="s">
        <v>1176</v>
      </c>
      <c r="B136" s="993" t="s">
        <v>1203</v>
      </c>
      <c r="C136" s="942">
        <f>mo!B235</f>
        <v>18000</v>
      </c>
      <c r="D136" s="950"/>
      <c r="E136" s="942">
        <f>mo!C235</f>
        <v>0</v>
      </c>
      <c r="F136" s="1056"/>
    </row>
    <row r="137" spans="1:6" ht="12.75" thickBot="1">
      <c r="A137" s="1020" t="s">
        <v>1169</v>
      </c>
      <c r="B137" s="994" t="s">
        <v>1204</v>
      </c>
      <c r="C137" s="947">
        <f>mo!B237</f>
        <v>52000</v>
      </c>
      <c r="D137" s="966"/>
      <c r="E137" s="947">
        <f>mo!C237</f>
        <v>0</v>
      </c>
      <c r="F137" s="1056"/>
    </row>
    <row r="138" spans="1:6" ht="24.75" thickBot="1">
      <c r="A138" s="1027" t="s">
        <v>1205</v>
      </c>
      <c r="B138" s="989" t="s">
        <v>1206</v>
      </c>
      <c r="C138" s="978">
        <f>C139</f>
        <v>0</v>
      </c>
      <c r="D138" s="979">
        <f>D139</f>
        <v>0</v>
      </c>
      <c r="E138" s="980">
        <f>E139</f>
        <v>0</v>
      </c>
      <c r="F138" s="1056"/>
    </row>
    <row r="139" spans="1:6" ht="12.75" thickBot="1">
      <c r="A139" s="1028" t="s">
        <v>1092</v>
      </c>
      <c r="B139" s="995" t="s">
        <v>1207</v>
      </c>
      <c r="C139" s="967">
        <f>mo!B239</f>
        <v>0</v>
      </c>
      <c r="D139" s="968"/>
      <c r="E139" s="967">
        <f>mo!C239</f>
        <v>0</v>
      </c>
      <c r="F139" s="1056"/>
    </row>
    <row r="140" spans="1:6" ht="12.75" thickBot="1">
      <c r="A140" s="1027" t="s">
        <v>69</v>
      </c>
      <c r="B140" s="989" t="s">
        <v>2079</v>
      </c>
      <c r="C140" s="978">
        <f>C141</f>
        <v>73000</v>
      </c>
      <c r="D140" s="979"/>
      <c r="E140" s="980">
        <f>E141</f>
        <v>0</v>
      </c>
      <c r="F140" s="1056"/>
    </row>
    <row r="141" spans="1:6" ht="12.75" thickBot="1">
      <c r="A141" s="1028" t="s">
        <v>73</v>
      </c>
      <c r="B141" s="995" t="s">
        <v>1329</v>
      </c>
      <c r="C141" s="967">
        <f>mo!B241</f>
        <v>73000</v>
      </c>
      <c r="D141" s="968"/>
      <c r="E141" s="967">
        <f>mo!C241</f>
        <v>0</v>
      </c>
      <c r="F141" s="1056"/>
    </row>
    <row r="142" spans="1:6" ht="12.75" thickBot="1">
      <c r="A142" s="1027" t="s">
        <v>1209</v>
      </c>
      <c r="B142" s="1031" t="s">
        <v>1210</v>
      </c>
      <c r="C142" s="978" t="e">
        <f>C43+C85+C92+C102+C140+C130+C122+C127+C132+C96</f>
        <v>#REF!</v>
      </c>
      <c r="D142" s="979">
        <f>D43+D85+D92+D102+D140+D130+D122+D127+D132+D96</f>
        <v>0</v>
      </c>
      <c r="E142" s="980" t="e">
        <f>E43+E85+E92+E102+E140+E130+E122+E127+E132+E96</f>
        <v>#REF!</v>
      </c>
      <c r="F142" s="1056"/>
    </row>
    <row r="143" spans="1:6" ht="12">
      <c r="A143" s="1032"/>
      <c r="B143" s="998"/>
      <c r="C143" s="951"/>
      <c r="D143" s="940"/>
      <c r="E143" s="951"/>
      <c r="F143" s="1056"/>
    </row>
    <row r="144" spans="1:6" ht="24">
      <c r="A144" s="1051" t="s">
        <v>1211</v>
      </c>
      <c r="B144" s="1052" t="s">
        <v>1212</v>
      </c>
      <c r="C144" s="1053" t="e">
        <f>C40-C142</f>
        <v>#REF!</v>
      </c>
      <c r="D144" s="1054">
        <f>D40-D142</f>
        <v>0</v>
      </c>
      <c r="E144" s="1053" t="e">
        <f>E40-E142</f>
        <v>#REF!</v>
      </c>
      <c r="F144" s="1056"/>
    </row>
    <row r="145" spans="1:6" ht="36">
      <c r="A145" s="1087" t="s">
        <v>1213</v>
      </c>
      <c r="B145" s="1036" t="s">
        <v>1214</v>
      </c>
      <c r="C145" s="945"/>
      <c r="D145" s="943"/>
      <c r="E145" s="945"/>
      <c r="F145" s="1056"/>
    </row>
    <row r="146" spans="1:6" ht="24">
      <c r="A146" s="1026" t="s">
        <v>1215</v>
      </c>
      <c r="B146" s="1036" t="s">
        <v>999</v>
      </c>
      <c r="C146" s="945"/>
      <c r="D146" s="943"/>
      <c r="E146" s="945"/>
      <c r="F146" s="1056"/>
    </row>
    <row r="147" spans="1:6" ht="12">
      <c r="A147" s="1026" t="s">
        <v>1216</v>
      </c>
      <c r="B147" s="1036" t="s">
        <v>1002</v>
      </c>
      <c r="C147" s="945"/>
      <c r="D147" s="943"/>
      <c r="E147" s="945"/>
      <c r="F147" s="1056"/>
    </row>
    <row r="148" spans="1:6" ht="12">
      <c r="A148" s="1026" t="s">
        <v>1217</v>
      </c>
      <c r="B148" s="1036" t="s">
        <v>1003</v>
      </c>
      <c r="C148" s="945"/>
      <c r="D148" s="943"/>
      <c r="E148" s="945"/>
      <c r="F148" s="1056"/>
    </row>
    <row r="149" spans="1:6" ht="12">
      <c r="A149" s="1026" t="s">
        <v>1218</v>
      </c>
      <c r="B149" s="1036"/>
      <c r="C149" s="945"/>
      <c r="D149" s="943"/>
      <c r="E149" s="945"/>
      <c r="F149" s="1056"/>
    </row>
    <row r="150" spans="1:6" ht="24">
      <c r="A150" s="1037" t="s">
        <v>1219</v>
      </c>
      <c r="B150" s="1038" t="s">
        <v>1004</v>
      </c>
      <c r="C150" s="1039" t="e">
        <f>C151+C152</f>
        <v>#REF!</v>
      </c>
      <c r="D150" s="1040">
        <f>D151+D152</f>
        <v>0</v>
      </c>
      <c r="E150" s="1039" t="e">
        <f>E151+E152</f>
        <v>#REF!</v>
      </c>
      <c r="F150" s="1056"/>
    </row>
    <row r="151" spans="1:6" ht="24">
      <c r="A151" s="1026" t="s">
        <v>1220</v>
      </c>
      <c r="B151" s="1036" t="s">
        <v>1006</v>
      </c>
      <c r="C151" s="942">
        <f>-(C40+C146+C147)</f>
        <v>-23081700</v>
      </c>
      <c r="D151" s="943">
        <f>-(D40+D146+D147)</f>
        <v>0</v>
      </c>
      <c r="E151" s="1062">
        <f>-(E40+E146+E147)</f>
        <v>-5124117.72</v>
      </c>
      <c r="F151" s="1056"/>
    </row>
    <row r="152" spans="1:6" ht="24">
      <c r="A152" s="1026" t="s">
        <v>1221</v>
      </c>
      <c r="B152" s="1036" t="s">
        <v>1008</v>
      </c>
      <c r="C152" s="942" t="e">
        <f>C142-C148</f>
        <v>#REF!</v>
      </c>
      <c r="D152" s="943">
        <f>D142-D148</f>
        <v>0</v>
      </c>
      <c r="E152" s="1062" t="e">
        <f>E142-E148</f>
        <v>#REF!</v>
      </c>
      <c r="F152" s="1056"/>
    </row>
    <row r="153" spans="1:6" ht="12">
      <c r="A153" s="1037" t="s">
        <v>1222</v>
      </c>
      <c r="B153" s="1038" t="s">
        <v>1214</v>
      </c>
      <c r="C153" s="1039" t="e">
        <f>C146+C147+C148+C150</f>
        <v>#REF!</v>
      </c>
      <c r="D153" s="1040">
        <f>D146+D147+D148+D150</f>
        <v>0</v>
      </c>
      <c r="E153" s="1039" t="e">
        <f>E146+E147-(-E148)+E150</f>
        <v>#REF!</v>
      </c>
      <c r="F153" s="1056"/>
    </row>
    <row r="154" spans="1:6" ht="12">
      <c r="A154" s="1041"/>
      <c r="B154" s="1032"/>
      <c r="C154" s="1032"/>
      <c r="D154" s="1042"/>
      <c r="E154" s="1000"/>
      <c r="F154" s="1056"/>
    </row>
    <row r="155" spans="1:6" ht="12">
      <c r="A155" s="1041" t="s">
        <v>2322</v>
      </c>
      <c r="B155" s="1032"/>
      <c r="C155" s="1032"/>
      <c r="D155" s="1159" t="s">
        <v>1938</v>
      </c>
      <c r="E155" s="1000"/>
      <c r="F155" s="1056"/>
    </row>
    <row r="156" spans="1:6" ht="12">
      <c r="A156" s="998" t="s">
        <v>1146</v>
      </c>
      <c r="B156" s="1032"/>
      <c r="C156" s="1032"/>
      <c r="D156" s="1159" t="s">
        <v>1939</v>
      </c>
      <c r="E156" s="1000"/>
      <c r="F156" s="1056"/>
    </row>
    <row r="157" spans="1:6" ht="24" customHeight="1">
      <c r="A157" s="1042" t="s">
        <v>1155</v>
      </c>
      <c r="B157" s="1032" t="s">
        <v>1156</v>
      </c>
      <c r="C157" s="1032"/>
      <c r="D157" s="1159" t="s">
        <v>1940</v>
      </c>
      <c r="E157" s="1000"/>
      <c r="F157" s="1056"/>
    </row>
    <row r="158" spans="1:6" ht="12">
      <c r="A158" s="998" t="s">
        <v>1157</v>
      </c>
      <c r="B158" s="1032"/>
      <c r="C158" s="1032"/>
      <c r="D158" s="1159" t="s">
        <v>1941</v>
      </c>
      <c r="E158" s="1000"/>
      <c r="F158" s="1056"/>
    </row>
    <row r="159" spans="1:6" ht="12">
      <c r="A159" s="1131" t="s">
        <v>1154</v>
      </c>
      <c r="B159" s="1032"/>
      <c r="C159" s="1032"/>
      <c r="D159" s="1159" t="s">
        <v>1928</v>
      </c>
      <c r="E159" s="1000"/>
      <c r="F159" s="1056"/>
    </row>
    <row r="160" spans="1:6" ht="12">
      <c r="A160" s="1041" t="s">
        <v>1153</v>
      </c>
      <c r="B160" s="1032"/>
      <c r="C160" s="1032"/>
      <c r="D160" s="1042"/>
      <c r="E160" s="1000"/>
      <c r="F160" s="1056"/>
    </row>
    <row r="161" spans="1:6" ht="12">
      <c r="A161" s="998"/>
      <c r="B161" s="998"/>
      <c r="C161" s="1032"/>
      <c r="D161" s="1042"/>
      <c r="E161" s="1000"/>
      <c r="F161" s="1056"/>
    </row>
    <row r="162" spans="1:6" ht="12">
      <c r="A162" s="998" t="s">
        <v>67</v>
      </c>
      <c r="B162" s="1043"/>
      <c r="C162" s="1044"/>
      <c r="D162" s="998" t="s">
        <v>767</v>
      </c>
      <c r="E162" s="1000"/>
      <c r="F162" s="1056"/>
    </row>
    <row r="163" spans="1:6" ht="12">
      <c r="A163" s="1000"/>
      <c r="B163" s="1000"/>
      <c r="C163" s="1000"/>
      <c r="D163" s="1000"/>
      <c r="E163" s="1000"/>
      <c r="F163" s="1056"/>
    </row>
    <row r="164" spans="1:6" ht="12">
      <c r="A164" s="998" t="s">
        <v>1223</v>
      </c>
      <c r="B164" s="1043"/>
      <c r="C164" s="1032"/>
      <c r="D164" s="998" t="s">
        <v>768</v>
      </c>
      <c r="E164" s="1000"/>
      <c r="F164" s="1056"/>
    </row>
    <row r="165" spans="1:6" ht="12">
      <c r="A165" s="1000"/>
      <c r="B165" s="1045"/>
      <c r="C165" s="1000"/>
      <c r="D165" s="1000"/>
      <c r="E165" s="1000"/>
      <c r="F165" s="1056"/>
    </row>
    <row r="166" spans="1:6" ht="12">
      <c r="A166" s="998" t="s">
        <v>68</v>
      </c>
      <c r="B166" s="1046"/>
      <c r="C166" s="1047"/>
      <c r="D166" s="998" t="s">
        <v>769</v>
      </c>
      <c r="E166" s="1000"/>
    </row>
  </sheetData>
  <phoneticPr fontId="33" type="noConversion"/>
  <pageMargins left="0.70866141732283472" right="0.11811023622047245"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sheetPr codeName="Лист16" enableFormatConditionsCalculation="0">
    <tabColor indexed="24"/>
  </sheetPr>
  <dimension ref="A1:F168"/>
  <sheetViews>
    <sheetView topLeftCell="A135" workbookViewId="0">
      <selection activeCell="A4" sqref="A4"/>
    </sheetView>
  </sheetViews>
  <sheetFormatPr defaultRowHeight="11.25"/>
  <cols>
    <col min="1" max="1" width="36.33203125" bestFit="1" customWidth="1"/>
    <col min="2" max="2" width="28" customWidth="1"/>
    <col min="3" max="3" width="14.6640625" customWidth="1"/>
    <col min="4" max="4" width="16" bestFit="1" customWidth="1"/>
    <col min="5" max="5" width="15" customWidth="1"/>
  </cols>
  <sheetData>
    <row r="1" spans="1:5" ht="12">
      <c r="A1" s="998"/>
      <c r="B1" s="999" t="s">
        <v>1036</v>
      </c>
      <c r="C1" s="999"/>
      <c r="D1" s="998"/>
      <c r="E1" s="1000"/>
    </row>
    <row r="2" spans="1:5" ht="12">
      <c r="A2" s="998"/>
      <c r="B2" s="999" t="s">
        <v>1038</v>
      </c>
      <c r="C2" s="999"/>
      <c r="D2" s="998"/>
      <c r="E2" s="1000"/>
    </row>
    <row r="3" spans="1:5" ht="12">
      <c r="A3" s="998"/>
      <c r="B3" s="999" t="s">
        <v>1224</v>
      </c>
      <c r="C3" s="999"/>
      <c r="D3" s="998"/>
      <c r="E3" s="1000"/>
    </row>
    <row r="4" spans="1:5" ht="12">
      <c r="A4" s="998" t="s">
        <v>3444</v>
      </c>
      <c r="B4" s="998"/>
      <c r="C4" s="998"/>
      <c r="D4" s="998"/>
      <c r="E4" s="1000"/>
    </row>
    <row r="5" spans="1:5" ht="36.75" thickBot="1">
      <c r="A5" s="1001" t="s">
        <v>1040</v>
      </c>
      <c r="B5" s="1001" t="s">
        <v>1041</v>
      </c>
      <c r="C5" s="1001" t="s">
        <v>1042</v>
      </c>
      <c r="D5" s="1002" t="s">
        <v>1225</v>
      </c>
      <c r="E5" s="1001" t="s">
        <v>688</v>
      </c>
    </row>
    <row r="6" spans="1:5" ht="12.75" thickBot="1">
      <c r="A6" s="1003" t="s">
        <v>1044</v>
      </c>
      <c r="B6" s="1004" t="s">
        <v>1045</v>
      </c>
      <c r="C6" s="935">
        <f>SUM(C7:C24)</f>
        <v>881500</v>
      </c>
      <c r="D6" s="935">
        <f>SUM(D7:D24)</f>
        <v>881500</v>
      </c>
      <c r="E6" s="934">
        <f>SUM(E7:E24)</f>
        <v>149217.96999999997</v>
      </c>
    </row>
    <row r="7" spans="1:5" ht="81.75" customHeight="1">
      <c r="A7" s="932" t="s">
        <v>1031</v>
      </c>
      <c r="B7" s="933" t="s">
        <v>2184</v>
      </c>
      <c r="C7" s="939">
        <f>mo!D5</f>
        <v>456000</v>
      </c>
      <c r="D7" s="940">
        <v>456000</v>
      </c>
      <c r="E7" s="939">
        <f>mo!E5</f>
        <v>70299.05</v>
      </c>
    </row>
    <row r="8" spans="1:5" ht="90.75" customHeight="1">
      <c r="A8" s="1005" t="s">
        <v>1032</v>
      </c>
      <c r="B8" s="941" t="s">
        <v>2186</v>
      </c>
      <c r="C8" s="942">
        <f>mo!D7</f>
        <v>0</v>
      </c>
      <c r="D8" s="943"/>
      <c r="E8" s="942">
        <f>mo!E6</f>
        <v>0</v>
      </c>
    </row>
    <row r="9" spans="1:5" ht="60">
      <c r="A9" s="1005" t="s">
        <v>1033</v>
      </c>
      <c r="B9" s="941" t="s">
        <v>2187</v>
      </c>
      <c r="C9" s="942">
        <f>mo!D8</f>
        <v>0</v>
      </c>
      <c r="D9" s="943"/>
      <c r="E9" s="942">
        <f>mo!E8</f>
        <v>0</v>
      </c>
    </row>
    <row r="10" spans="1:5" ht="110.25" customHeight="1">
      <c r="A10" s="1006" t="s">
        <v>1270</v>
      </c>
      <c r="B10" s="941" t="s">
        <v>2188</v>
      </c>
      <c r="C10" s="942"/>
      <c r="D10" s="943"/>
      <c r="E10" s="942"/>
    </row>
    <row r="11" spans="1:5" ht="48">
      <c r="A11" s="1006" t="s">
        <v>242</v>
      </c>
      <c r="B11" s="941" t="s">
        <v>246</v>
      </c>
      <c r="C11" s="942">
        <f>mo!D10</f>
        <v>98500</v>
      </c>
      <c r="D11" s="943">
        <v>98500</v>
      </c>
      <c r="E11" s="942">
        <f>mo!E10</f>
        <v>24217.119999999999</v>
      </c>
    </row>
    <row r="12" spans="1:5" ht="72">
      <c r="A12" s="1006" t="s">
        <v>243</v>
      </c>
      <c r="B12" s="941" t="s">
        <v>247</v>
      </c>
      <c r="C12" s="942">
        <f>mo!D11</f>
        <v>1500</v>
      </c>
      <c r="D12" s="943">
        <v>1500</v>
      </c>
      <c r="E12" s="942">
        <f>mo!E11</f>
        <v>423.08</v>
      </c>
    </row>
    <row r="13" spans="1:5" ht="72">
      <c r="A13" s="1006" t="s">
        <v>244</v>
      </c>
      <c r="B13" s="941" t="s">
        <v>248</v>
      </c>
      <c r="C13" s="942">
        <f>mo!D12</f>
        <v>215100</v>
      </c>
      <c r="D13" s="943">
        <v>215100</v>
      </c>
      <c r="E13" s="942">
        <f>mo!E12</f>
        <v>49335.46</v>
      </c>
    </row>
    <row r="14" spans="1:5" ht="72">
      <c r="A14" s="1006" t="s">
        <v>245</v>
      </c>
      <c r="B14" s="941" t="s">
        <v>249</v>
      </c>
      <c r="C14" s="942">
        <f>mo!D13</f>
        <v>37400</v>
      </c>
      <c r="D14" s="943">
        <v>37400</v>
      </c>
      <c r="E14" s="942">
        <f>mo!E13</f>
        <v>-4354.26</v>
      </c>
    </row>
    <row r="15" spans="1:5" ht="72">
      <c r="A15" s="1005" t="s">
        <v>1277</v>
      </c>
      <c r="B15" s="941" t="s">
        <v>605</v>
      </c>
      <c r="C15" s="942">
        <f>mo!D14</f>
        <v>0</v>
      </c>
      <c r="D15" s="943"/>
      <c r="E15" s="942">
        <f>mo!E14</f>
        <v>437.8</v>
      </c>
    </row>
    <row r="16" spans="1:5" ht="96" customHeight="1">
      <c r="A16" s="1005" t="s">
        <v>1286</v>
      </c>
      <c r="B16" s="941" t="s">
        <v>604</v>
      </c>
      <c r="C16" s="942">
        <f>mo!D15</f>
        <v>0</v>
      </c>
      <c r="D16" s="943"/>
      <c r="E16" s="942">
        <f>mo!E15</f>
        <v>840.8</v>
      </c>
    </row>
    <row r="17" spans="1:5" ht="108">
      <c r="A17" s="1005" t="s">
        <v>1</v>
      </c>
      <c r="B17" s="941" t="s">
        <v>2196</v>
      </c>
      <c r="C17" s="942">
        <f>mo!D16</f>
        <v>0</v>
      </c>
      <c r="D17" s="943"/>
      <c r="E17" s="942">
        <f>mo!E16</f>
        <v>0</v>
      </c>
    </row>
    <row r="18" spans="1:5" ht="48">
      <c r="A18" s="1005" t="s">
        <v>2161</v>
      </c>
      <c r="B18" s="941" t="s">
        <v>2207</v>
      </c>
      <c r="C18" s="942">
        <f>mo!D17</f>
        <v>0</v>
      </c>
      <c r="D18" s="943"/>
      <c r="E18" s="942"/>
    </row>
    <row r="19" spans="1:5" ht="120">
      <c r="A19" s="1005" t="s">
        <v>2124</v>
      </c>
      <c r="B19" s="941" t="s">
        <v>2837</v>
      </c>
      <c r="C19" s="942">
        <f>mo!D18</f>
        <v>1000</v>
      </c>
      <c r="D19" s="943">
        <v>1000</v>
      </c>
      <c r="E19" s="942">
        <f>mo!E18</f>
        <v>0</v>
      </c>
    </row>
    <row r="20" spans="1:5" ht="96">
      <c r="A20" s="1005" t="s">
        <v>1632</v>
      </c>
      <c r="B20" s="941" t="s">
        <v>607</v>
      </c>
      <c r="C20" s="942">
        <f>mo!D19</f>
        <v>62000</v>
      </c>
      <c r="D20" s="943">
        <v>62000</v>
      </c>
      <c r="E20" s="942">
        <f>mo!E19</f>
        <v>7018.92</v>
      </c>
    </row>
    <row r="21" spans="1:5" ht="84">
      <c r="A21" s="1005" t="s">
        <v>2182</v>
      </c>
      <c r="B21" s="941" t="s">
        <v>2268</v>
      </c>
      <c r="C21" s="942">
        <v>0</v>
      </c>
      <c r="D21" s="943"/>
      <c r="E21" s="942">
        <v>0</v>
      </c>
    </row>
    <row r="22" spans="1:5" ht="48">
      <c r="A22" s="1007" t="s">
        <v>8</v>
      </c>
      <c r="B22" s="944" t="s">
        <v>1945</v>
      </c>
      <c r="C22" s="942">
        <f>mo!D22</f>
        <v>0</v>
      </c>
      <c r="D22" s="943"/>
      <c r="E22" s="942">
        <f>mo!E22</f>
        <v>0</v>
      </c>
    </row>
    <row r="23" spans="1:5" ht="36">
      <c r="A23" s="1005" t="s">
        <v>9</v>
      </c>
      <c r="B23" s="941" t="s">
        <v>1947</v>
      </c>
      <c r="C23" s="942">
        <f>mo!D23</f>
        <v>0</v>
      </c>
      <c r="D23" s="943"/>
      <c r="E23" s="942">
        <f>mo!E23</f>
        <v>0</v>
      </c>
    </row>
    <row r="24" spans="1:5" ht="12">
      <c r="A24" s="1005" t="s">
        <v>2082</v>
      </c>
      <c r="B24" s="941" t="s">
        <v>2860</v>
      </c>
      <c r="C24" s="942">
        <f>mo!D24</f>
        <v>10000</v>
      </c>
      <c r="D24" s="943">
        <v>10000</v>
      </c>
      <c r="E24" s="942">
        <f>mo!E24</f>
        <v>1000</v>
      </c>
    </row>
    <row r="25" spans="1:5" ht="24.75" thickBot="1">
      <c r="A25" s="1008" t="s">
        <v>12</v>
      </c>
      <c r="B25" s="946" t="s">
        <v>222</v>
      </c>
      <c r="C25" s="947"/>
      <c r="D25" s="948"/>
      <c r="E25" s="947"/>
    </row>
    <row r="26" spans="1:5" ht="12.75" thickBot="1">
      <c r="A26" s="1009" t="s">
        <v>48</v>
      </c>
      <c r="B26" s="1004" t="s">
        <v>1047</v>
      </c>
      <c r="C26" s="934">
        <f>SUM(C27:C42)</f>
        <v>10585500</v>
      </c>
      <c r="D26" s="934">
        <f>SUM(D27:D42)</f>
        <v>9962400</v>
      </c>
      <c r="E26" s="936">
        <f>SUM(E27:E42)</f>
        <v>2197851.2799999998</v>
      </c>
    </row>
    <row r="27" spans="1:5" ht="36">
      <c r="A27" s="1058" t="s">
        <v>2391</v>
      </c>
      <c r="B27" s="933" t="s">
        <v>2864</v>
      </c>
      <c r="C27" s="939">
        <f>mo!D29</f>
        <v>1730000</v>
      </c>
      <c r="D27" s="940"/>
      <c r="E27" s="939">
        <f>mo!E29</f>
        <v>20000</v>
      </c>
    </row>
    <row r="28" spans="1:5" ht="36">
      <c r="A28" s="1058" t="s">
        <v>2391</v>
      </c>
      <c r="B28" s="933" t="s">
        <v>3005</v>
      </c>
      <c r="C28" s="939"/>
      <c r="D28" s="940"/>
      <c r="E28" s="939"/>
    </row>
    <row r="29" spans="1:5" ht="36">
      <c r="A29" s="1011" t="s">
        <v>1048</v>
      </c>
      <c r="B29" s="944" t="s">
        <v>2864</v>
      </c>
      <c r="C29" s="942">
        <f>mo!D28</f>
        <v>8628300</v>
      </c>
      <c r="D29" s="943">
        <v>8628300</v>
      </c>
      <c r="E29" s="942">
        <f>mo!E28</f>
        <v>2157000</v>
      </c>
    </row>
    <row r="30" spans="1:5" ht="72">
      <c r="A30" s="1010" t="s">
        <v>1148</v>
      </c>
      <c r="B30" s="944" t="s">
        <v>1147</v>
      </c>
      <c r="C30" s="942">
        <f>mo!D31</f>
        <v>0</v>
      </c>
      <c r="D30" s="943"/>
      <c r="E30" s="942"/>
    </row>
    <row r="31" spans="1:5" ht="60">
      <c r="A31" s="1010" t="s">
        <v>1078</v>
      </c>
      <c r="B31" s="944" t="s">
        <v>752</v>
      </c>
      <c r="C31" s="942">
        <f>mo!D30</f>
        <v>0</v>
      </c>
      <c r="D31" s="943"/>
      <c r="E31" s="942">
        <f>mo!E30</f>
        <v>0</v>
      </c>
    </row>
    <row r="32" spans="1:5" ht="84">
      <c r="A32" s="1010" t="s">
        <v>1320</v>
      </c>
      <c r="B32" s="944" t="s">
        <v>3254</v>
      </c>
      <c r="C32" s="942">
        <f>mo!D41</f>
        <v>0</v>
      </c>
      <c r="D32" s="948">
        <v>1217400</v>
      </c>
      <c r="E32" s="942">
        <f>mo!E41</f>
        <v>0</v>
      </c>
    </row>
    <row r="33" spans="1:5" ht="24">
      <c r="A33" s="1012" t="s">
        <v>359</v>
      </c>
      <c r="B33" s="1071" t="s">
        <v>2863</v>
      </c>
      <c r="C33" s="942">
        <f>mo!D39</f>
        <v>700</v>
      </c>
      <c r="D33" s="948">
        <v>700</v>
      </c>
      <c r="E33" s="942">
        <f>mo!E39</f>
        <v>0</v>
      </c>
    </row>
    <row r="34" spans="1:5" ht="24">
      <c r="A34" s="1011" t="s">
        <v>3255</v>
      </c>
      <c r="B34" s="944" t="s">
        <v>3256</v>
      </c>
      <c r="C34" s="942"/>
      <c r="D34" s="948"/>
      <c r="E34" s="942">
        <f>mo!E34</f>
        <v>0</v>
      </c>
    </row>
    <row r="35" spans="1:5" ht="60">
      <c r="A35" s="1014" t="s">
        <v>1227</v>
      </c>
      <c r="B35" s="944" t="s">
        <v>2862</v>
      </c>
      <c r="C35" s="942">
        <f>mo!D33</f>
        <v>0</v>
      </c>
      <c r="D35" s="957"/>
      <c r="E35" s="942">
        <f>mo!E33</f>
        <v>0</v>
      </c>
    </row>
    <row r="36" spans="1:5" ht="36">
      <c r="A36" s="1014" t="s">
        <v>2229</v>
      </c>
      <c r="B36" s="944" t="s">
        <v>2862</v>
      </c>
      <c r="C36" s="942">
        <f>mo!D35</f>
        <v>110500</v>
      </c>
      <c r="D36" s="1048"/>
      <c r="E36" s="942">
        <f>mo!E35</f>
        <v>0</v>
      </c>
    </row>
    <row r="37" spans="1:5" ht="48">
      <c r="A37" s="1010" t="s">
        <v>1228</v>
      </c>
      <c r="B37" s="944" t="s">
        <v>2080</v>
      </c>
      <c r="C37" s="942">
        <f>mo!D36</f>
        <v>0</v>
      </c>
      <c r="D37" s="1048"/>
      <c r="E37" s="942">
        <f>mo!E36</f>
        <v>0</v>
      </c>
    </row>
    <row r="38" spans="1:5" ht="48">
      <c r="A38" s="1010" t="s">
        <v>1076</v>
      </c>
      <c r="B38" s="944" t="s">
        <v>2080</v>
      </c>
      <c r="C38" s="942">
        <f>mo!D37</f>
        <v>0</v>
      </c>
      <c r="D38" s="1048"/>
      <c r="E38" s="942">
        <f>mo!E37</f>
        <v>0</v>
      </c>
    </row>
    <row r="39" spans="1:5" ht="48">
      <c r="A39" s="1010" t="s">
        <v>1076</v>
      </c>
      <c r="B39" s="1013" t="s">
        <v>1229</v>
      </c>
      <c r="C39" s="942"/>
      <c r="D39" s="1048"/>
      <c r="E39" s="942"/>
    </row>
    <row r="40" spans="1:5" ht="60">
      <c r="A40" s="1012" t="s">
        <v>1230</v>
      </c>
      <c r="B40" s="1013" t="s">
        <v>1231</v>
      </c>
      <c r="C40" s="942"/>
      <c r="D40" s="1048"/>
      <c r="E40" s="942"/>
    </row>
    <row r="41" spans="1:5" ht="24">
      <c r="A41" s="1011" t="s">
        <v>1050</v>
      </c>
      <c r="B41" s="952" t="s">
        <v>686</v>
      </c>
      <c r="C41" s="942">
        <v>0</v>
      </c>
      <c r="D41" s="1048"/>
      <c r="E41" s="942">
        <v>0</v>
      </c>
    </row>
    <row r="42" spans="1:5" ht="48">
      <c r="A42" s="1016" t="s">
        <v>1584</v>
      </c>
      <c r="B42" s="959" t="s">
        <v>2866</v>
      </c>
      <c r="C42" s="947">
        <f>mo!D38</f>
        <v>116000</v>
      </c>
      <c r="D42" s="948">
        <v>116000</v>
      </c>
      <c r="E42" s="947">
        <f>mo!E38</f>
        <v>20851.28</v>
      </c>
    </row>
    <row r="43" spans="1:5" ht="24">
      <c r="A43" s="1432" t="s">
        <v>12</v>
      </c>
      <c r="B43" s="1013" t="s">
        <v>111</v>
      </c>
      <c r="C43" s="942"/>
      <c r="D43" s="943"/>
      <c r="E43" s="942">
        <f>mo!E42</f>
        <v>-2209</v>
      </c>
    </row>
    <row r="44" spans="1:5" ht="12.75" thickBot="1">
      <c r="A44" s="1427" t="s">
        <v>1080</v>
      </c>
      <c r="B44" s="1428"/>
      <c r="C44" s="1431">
        <f>C6+C26+C25</f>
        <v>11467000</v>
      </c>
      <c r="D44" s="1431">
        <f>D6+D26+D25</f>
        <v>10843900</v>
      </c>
      <c r="E44" s="1431">
        <f>E6+E26+E25+E43</f>
        <v>2344860.25</v>
      </c>
    </row>
    <row r="45" spans="1:5" ht="12">
      <c r="A45" s="1000" t="s">
        <v>1081</v>
      </c>
      <c r="B45" s="1000"/>
      <c r="C45" s="964"/>
      <c r="D45" s="1019"/>
      <c r="E45" s="964"/>
    </row>
    <row r="46" spans="1:5" ht="36.75" thickBot="1">
      <c r="A46" s="1020" t="s">
        <v>74</v>
      </c>
      <c r="B46" s="1020" t="s">
        <v>216</v>
      </c>
      <c r="C46" s="1021" t="s">
        <v>1042</v>
      </c>
      <c r="D46" s="1022" t="s">
        <v>1082</v>
      </c>
      <c r="E46" s="1021" t="s">
        <v>688</v>
      </c>
    </row>
    <row r="47" spans="1:5" ht="12.75" thickBot="1">
      <c r="A47" s="1023" t="s">
        <v>75</v>
      </c>
      <c r="B47" s="989" t="s">
        <v>1083</v>
      </c>
      <c r="C47" s="934">
        <f>SUM(C48:C60)</f>
        <v>6900800</v>
      </c>
      <c r="D47" s="935">
        <f>D61+D65+D70+D85+D83+D87</f>
        <v>6900800</v>
      </c>
      <c r="E47" s="936">
        <f>SUM(E48:E60)</f>
        <v>1391116.77</v>
      </c>
    </row>
    <row r="48" spans="1:5" ht="12">
      <c r="A48" s="1025" t="s">
        <v>77</v>
      </c>
      <c r="B48" s="997" t="s">
        <v>1084</v>
      </c>
      <c r="C48" s="962">
        <f t="shared" ref="C48:E50" si="0">C62+C71</f>
        <v>3717800</v>
      </c>
      <c r="D48" s="940">
        <f t="shared" si="0"/>
        <v>0</v>
      </c>
      <c r="E48" s="962">
        <f t="shared" si="0"/>
        <v>805451.51</v>
      </c>
    </row>
    <row r="49" spans="1:5" ht="12">
      <c r="A49" s="1026" t="s">
        <v>81</v>
      </c>
      <c r="B49" s="993" t="s">
        <v>1086</v>
      </c>
      <c r="C49" s="963">
        <f>C64+C72</f>
        <v>1122700</v>
      </c>
      <c r="D49" s="943">
        <f t="shared" si="0"/>
        <v>0</v>
      </c>
      <c r="E49" s="963">
        <f>E64+E72</f>
        <v>233413.71000000002</v>
      </c>
    </row>
    <row r="50" spans="1:5" ht="12">
      <c r="A50" s="1026" t="s">
        <v>79</v>
      </c>
      <c r="B50" s="993" t="s">
        <v>1085</v>
      </c>
      <c r="C50" s="963">
        <f>C63+C73</f>
        <v>145000</v>
      </c>
      <c r="D50" s="943">
        <f t="shared" si="0"/>
        <v>0</v>
      </c>
      <c r="E50" s="963">
        <f>E63+E73</f>
        <v>60000</v>
      </c>
    </row>
    <row r="51" spans="1:5" ht="12">
      <c r="A51" s="1026" t="s">
        <v>83</v>
      </c>
      <c r="B51" s="993" t="s">
        <v>1087</v>
      </c>
      <c r="C51" s="963">
        <f>C74</f>
        <v>40000</v>
      </c>
      <c r="D51" s="943">
        <f>D74</f>
        <v>0</v>
      </c>
      <c r="E51" s="963">
        <f>E74</f>
        <v>4881</v>
      </c>
    </row>
    <row r="52" spans="1:5" ht="12">
      <c r="A52" s="1026" t="s">
        <v>85</v>
      </c>
      <c r="B52" s="993" t="s">
        <v>1088</v>
      </c>
      <c r="C52" s="963">
        <f>C75+C66</f>
        <v>65000</v>
      </c>
      <c r="D52" s="943">
        <f>D75</f>
        <v>0</v>
      </c>
      <c r="E52" s="963">
        <f>E75+E66</f>
        <v>7000</v>
      </c>
    </row>
    <row r="53" spans="1:5" ht="12">
      <c r="A53" s="1026" t="s">
        <v>87</v>
      </c>
      <c r="B53" s="993" t="s">
        <v>1089</v>
      </c>
      <c r="C53" s="963">
        <f>C76</f>
        <v>650000</v>
      </c>
      <c r="D53" s="943">
        <f>D76</f>
        <v>0</v>
      </c>
      <c r="E53" s="963">
        <f>E76</f>
        <v>227898.71</v>
      </c>
    </row>
    <row r="54" spans="1:5" ht="12">
      <c r="A54" s="1026" t="s">
        <v>89</v>
      </c>
      <c r="B54" s="993" t="s">
        <v>1090</v>
      </c>
      <c r="C54" s="963">
        <f>C77</f>
        <v>495500</v>
      </c>
      <c r="D54" s="943">
        <f>D77</f>
        <v>0</v>
      </c>
      <c r="E54" s="963">
        <f>E77</f>
        <v>669.48</v>
      </c>
    </row>
    <row r="55" spans="1:5" ht="12">
      <c r="A55" s="1026" t="s">
        <v>91</v>
      </c>
      <c r="B55" s="993" t="s">
        <v>1091</v>
      </c>
      <c r="C55" s="963">
        <f>C78+C67</f>
        <v>61430</v>
      </c>
      <c r="D55" s="943">
        <f>D78</f>
        <v>0</v>
      </c>
      <c r="E55" s="963">
        <f>E78</f>
        <v>25249.599999999999</v>
      </c>
    </row>
    <row r="56" spans="1:5" ht="12">
      <c r="A56" s="1026" t="s">
        <v>1092</v>
      </c>
      <c r="B56" s="993" t="s">
        <v>1093</v>
      </c>
      <c r="C56" s="963">
        <f>C138</f>
        <v>0</v>
      </c>
      <c r="D56" s="943">
        <f>D138</f>
        <v>0</v>
      </c>
      <c r="E56" s="963">
        <f>E138</f>
        <v>0</v>
      </c>
    </row>
    <row r="57" spans="1:5" ht="12">
      <c r="A57" s="1026" t="s">
        <v>1094</v>
      </c>
      <c r="B57" s="993" t="s">
        <v>1095</v>
      </c>
      <c r="C57" s="963"/>
      <c r="D57" s="943"/>
      <c r="E57" s="963"/>
    </row>
    <row r="58" spans="1:5" ht="12">
      <c r="A58" s="1026" t="s">
        <v>95</v>
      </c>
      <c r="B58" s="993" t="s">
        <v>1096</v>
      </c>
      <c r="C58" s="963">
        <f>C68+C80+C86+C84</f>
        <v>41000</v>
      </c>
      <c r="D58" s="943">
        <f>D80+D86+D84</f>
        <v>0</v>
      </c>
      <c r="E58" s="963">
        <f>E80+E86+E84+E68</f>
        <v>2209.7600000000002</v>
      </c>
    </row>
    <row r="59" spans="1:5" ht="24">
      <c r="A59" s="1026" t="s">
        <v>97</v>
      </c>
      <c r="B59" s="993" t="s">
        <v>1097</v>
      </c>
      <c r="C59" s="1072">
        <f>C81</f>
        <v>497670</v>
      </c>
      <c r="D59" s="960">
        <f>D81</f>
        <v>0</v>
      </c>
      <c r="E59" s="1072">
        <f>E81</f>
        <v>9228</v>
      </c>
    </row>
    <row r="60" spans="1:5" ht="24.75" thickBot="1">
      <c r="A60" s="1020" t="s">
        <v>100</v>
      </c>
      <c r="B60" s="994" t="s">
        <v>1098</v>
      </c>
      <c r="C60" s="1073">
        <f>C82+C69+C87</f>
        <v>64700</v>
      </c>
      <c r="D60" s="948"/>
      <c r="E60" s="1073">
        <f>E82+E69</f>
        <v>15115</v>
      </c>
    </row>
    <row r="61" spans="1:5" ht="36.75" thickBot="1">
      <c r="A61" s="1027" t="s">
        <v>1099</v>
      </c>
      <c r="B61" s="989" t="s">
        <v>1100</v>
      </c>
      <c r="C61" s="1074">
        <f>SUM(C62:C64)</f>
        <v>775600</v>
      </c>
      <c r="D61" s="972">
        <v>775600</v>
      </c>
      <c r="E61" s="973">
        <f>SUM(E62:E64)</f>
        <v>190148.1</v>
      </c>
    </row>
    <row r="62" spans="1:5" ht="12">
      <c r="A62" s="1025" t="s">
        <v>77</v>
      </c>
      <c r="B62" s="997" t="s">
        <v>1101</v>
      </c>
      <c r="C62" s="939">
        <f>mo!D71</f>
        <v>584200</v>
      </c>
      <c r="D62" s="965"/>
      <c r="E62" s="939">
        <f>mo!E71</f>
        <v>146043.09</v>
      </c>
    </row>
    <row r="63" spans="1:5" ht="12">
      <c r="A63" s="1026" t="s">
        <v>79</v>
      </c>
      <c r="B63" s="993" t="s">
        <v>1102</v>
      </c>
      <c r="C63" s="942">
        <f>mo!D72</f>
        <v>15000</v>
      </c>
      <c r="D63" s="950"/>
      <c r="E63" s="1075">
        <f>mo!E72</f>
        <v>0</v>
      </c>
    </row>
    <row r="64" spans="1:5" ht="12.75" thickBot="1">
      <c r="A64" s="1020" t="s">
        <v>81</v>
      </c>
      <c r="B64" s="994" t="s">
        <v>1103</v>
      </c>
      <c r="C64" s="947">
        <f>mo!D73</f>
        <v>176400</v>
      </c>
      <c r="D64" s="966"/>
      <c r="E64" s="947">
        <f>mo!E73</f>
        <v>44105.01</v>
      </c>
    </row>
    <row r="65" spans="1:5" ht="36">
      <c r="A65" s="1123" t="s">
        <v>1232</v>
      </c>
      <c r="B65" s="1134" t="s">
        <v>1233</v>
      </c>
      <c r="C65" s="1486">
        <f>C69+C68+C66+C67</f>
        <v>20000</v>
      </c>
      <c r="D65" s="1487">
        <v>20000</v>
      </c>
      <c r="E65" s="1488">
        <f>E66+E68+E69</f>
        <v>0</v>
      </c>
    </row>
    <row r="66" spans="1:5" ht="12">
      <c r="A66" s="1026" t="s">
        <v>85</v>
      </c>
      <c r="B66" s="997" t="s">
        <v>1289</v>
      </c>
      <c r="C66" s="1489">
        <f>mo!D81</f>
        <v>15000</v>
      </c>
      <c r="D66" s="1490"/>
      <c r="E66" s="1489">
        <f>mo!E81</f>
        <v>0</v>
      </c>
    </row>
    <row r="67" spans="1:5" ht="12">
      <c r="A67" s="1025" t="s">
        <v>2822</v>
      </c>
      <c r="B67" s="997" t="s">
        <v>1107</v>
      </c>
      <c r="C67" s="1768">
        <f>mo!D82</f>
        <v>0</v>
      </c>
      <c r="D67" s="1769"/>
      <c r="E67" s="1768"/>
    </row>
    <row r="68" spans="1:5" ht="12">
      <c r="A68" s="1025" t="s">
        <v>95</v>
      </c>
      <c r="B68" s="997" t="s">
        <v>1108</v>
      </c>
      <c r="C68" s="937">
        <f>mo!D83+mo!D84</f>
        <v>1000</v>
      </c>
      <c r="D68" s="1076"/>
      <c r="E68" s="1077">
        <f>mo!E83+mo!E84</f>
        <v>0</v>
      </c>
    </row>
    <row r="69" spans="1:5" ht="24.75" thickBot="1">
      <c r="A69" s="1020" t="s">
        <v>1234</v>
      </c>
      <c r="B69" s="994" t="s">
        <v>1235</v>
      </c>
      <c r="C69" s="970">
        <f>mo!D85</f>
        <v>4000</v>
      </c>
      <c r="D69" s="977"/>
      <c r="E69" s="970">
        <f>mo!E85</f>
        <v>0</v>
      </c>
    </row>
    <row r="70" spans="1:5" ht="48.75" thickBot="1">
      <c r="A70" s="1027" t="s">
        <v>1109</v>
      </c>
      <c r="B70" s="989" t="s">
        <v>1110</v>
      </c>
      <c r="C70" s="971">
        <f>SUM(C71:C82)</f>
        <v>6094500</v>
      </c>
      <c r="D70" s="972">
        <v>6094500</v>
      </c>
      <c r="E70" s="973">
        <f>SUM(E71:E82)</f>
        <v>1200968.6700000002</v>
      </c>
    </row>
    <row r="71" spans="1:5" ht="12">
      <c r="A71" s="1025" t="s">
        <v>77</v>
      </c>
      <c r="B71" s="997" t="s">
        <v>1111</v>
      </c>
      <c r="C71" s="939">
        <f>mo!D87</f>
        <v>3133600</v>
      </c>
      <c r="D71" s="965"/>
      <c r="E71" s="939">
        <f>mo!E87</f>
        <v>659408.42000000004</v>
      </c>
    </row>
    <row r="72" spans="1:5" ht="12">
      <c r="A72" s="1026" t="s">
        <v>81</v>
      </c>
      <c r="B72" s="993" t="s">
        <v>1113</v>
      </c>
      <c r="C72" s="942">
        <f>mo!D88</f>
        <v>946300</v>
      </c>
      <c r="D72" s="950"/>
      <c r="E72" s="942">
        <f>mo!E88</f>
        <v>189308.7</v>
      </c>
    </row>
    <row r="73" spans="1:5" ht="12">
      <c r="A73" s="1026" t="s">
        <v>79</v>
      </c>
      <c r="B73" s="993" t="s">
        <v>1112</v>
      </c>
      <c r="C73" s="942">
        <f>mo!D89</f>
        <v>130000</v>
      </c>
      <c r="D73" s="950"/>
      <c r="E73" s="942">
        <f>mo!E89</f>
        <v>60000</v>
      </c>
    </row>
    <row r="74" spans="1:5" ht="12">
      <c r="A74" s="1026" t="s">
        <v>83</v>
      </c>
      <c r="B74" s="993" t="s">
        <v>1114</v>
      </c>
      <c r="C74" s="942">
        <f>mo!D95+mo!D100</f>
        <v>40000</v>
      </c>
      <c r="D74" s="950"/>
      <c r="E74" s="942">
        <f>mo!E95+mo!E100</f>
        <v>4881</v>
      </c>
    </row>
    <row r="75" spans="1:5" ht="12">
      <c r="A75" s="1026" t="s">
        <v>85</v>
      </c>
      <c r="B75" s="993" t="s">
        <v>1115</v>
      </c>
      <c r="C75" s="942">
        <f>mo!D101</f>
        <v>50000</v>
      </c>
      <c r="D75" s="950"/>
      <c r="E75" s="1075">
        <f>mo!E101</f>
        <v>7000</v>
      </c>
    </row>
    <row r="76" spans="1:5" ht="12">
      <c r="A76" s="1026" t="s">
        <v>87</v>
      </c>
      <c r="B76" s="993" t="s">
        <v>1116</v>
      </c>
      <c r="C76" s="942">
        <f>mo!D102</f>
        <v>650000</v>
      </c>
      <c r="D76" s="950"/>
      <c r="E76" s="942">
        <f>mo!E102</f>
        <v>227898.71</v>
      </c>
    </row>
    <row r="77" spans="1:5" ht="12">
      <c r="A77" s="1026" t="s">
        <v>89</v>
      </c>
      <c r="B77" s="993" t="s">
        <v>1117</v>
      </c>
      <c r="C77" s="942">
        <f>mo!D96+mo!D103</f>
        <v>495500</v>
      </c>
      <c r="D77" s="950"/>
      <c r="E77" s="942">
        <f>mo!E96+mo!E103</f>
        <v>669.48</v>
      </c>
    </row>
    <row r="78" spans="1:5" ht="12">
      <c r="A78" s="1026" t="s">
        <v>91</v>
      </c>
      <c r="B78" s="993" t="s">
        <v>1118</v>
      </c>
      <c r="C78" s="942">
        <f>mo!D104+mo!D97</f>
        <v>61430</v>
      </c>
      <c r="D78" s="950"/>
      <c r="E78" s="942">
        <f>mo!E97+mo!E104</f>
        <v>25249.599999999999</v>
      </c>
    </row>
    <row r="79" spans="1:5" ht="12">
      <c r="A79" s="1026" t="s">
        <v>1094</v>
      </c>
      <c r="B79" s="993" t="s">
        <v>1119</v>
      </c>
      <c r="C79" s="942"/>
      <c r="D79" s="950"/>
      <c r="E79" s="942"/>
    </row>
    <row r="80" spans="1:5" ht="12">
      <c r="A80" s="1026" t="s">
        <v>95</v>
      </c>
      <c r="B80" s="993" t="s">
        <v>1120</v>
      </c>
      <c r="C80" s="942">
        <f>mo!D109+mo!D108+mo!D105</f>
        <v>30000</v>
      </c>
      <c r="D80" s="950"/>
      <c r="E80" s="942">
        <f>mo!E105+mo!E109+mo!E108</f>
        <v>2209.7600000000002</v>
      </c>
    </row>
    <row r="81" spans="1:5" ht="24">
      <c r="A81" s="1026" t="s">
        <v>97</v>
      </c>
      <c r="B81" s="993" t="s">
        <v>1121</v>
      </c>
      <c r="C81" s="942">
        <f>mo!D98+mo!D106</f>
        <v>497670</v>
      </c>
      <c r="D81" s="950"/>
      <c r="E81" s="942">
        <f>mo!E106+mo!E98</f>
        <v>9228</v>
      </c>
    </row>
    <row r="82" spans="1:5" ht="24.75" thickBot="1">
      <c r="A82" s="1020" t="s">
        <v>100</v>
      </c>
      <c r="B82" s="994" t="s">
        <v>1122</v>
      </c>
      <c r="C82" s="947">
        <f>mo!D99+mo!D107</f>
        <v>60000</v>
      </c>
      <c r="D82" s="966"/>
      <c r="E82" s="947">
        <f>mo!E107+mo!E99</f>
        <v>15115</v>
      </c>
    </row>
    <row r="83" spans="1:5" ht="12.75" thickBot="1">
      <c r="A83" s="1027" t="s">
        <v>1123</v>
      </c>
      <c r="B83" s="989" t="s">
        <v>1124</v>
      </c>
      <c r="C83" s="971">
        <f>C84</f>
        <v>0</v>
      </c>
      <c r="D83" s="972"/>
      <c r="E83" s="973">
        <f>E84</f>
        <v>0</v>
      </c>
    </row>
    <row r="84" spans="1:5" ht="12.75" thickBot="1">
      <c r="A84" s="1028" t="s">
        <v>95</v>
      </c>
      <c r="B84" s="995" t="s">
        <v>1125</v>
      </c>
      <c r="C84" s="996">
        <f>mo!D112</f>
        <v>0</v>
      </c>
      <c r="D84" s="960">
        <f>mo!D112</f>
        <v>0</v>
      </c>
      <c r="E84" s="996">
        <f>mo!E112</f>
        <v>0</v>
      </c>
    </row>
    <row r="85" spans="1:5" ht="12.75" thickBot="1">
      <c r="A85" s="1027" t="s">
        <v>128</v>
      </c>
      <c r="B85" s="989" t="s">
        <v>1126</v>
      </c>
      <c r="C85" s="978">
        <f>C86</f>
        <v>10000</v>
      </c>
      <c r="D85" s="979">
        <v>10000</v>
      </c>
      <c r="E85" s="980">
        <f>E86</f>
        <v>0</v>
      </c>
    </row>
    <row r="86" spans="1:5" ht="12">
      <c r="A86" s="1028" t="s">
        <v>95</v>
      </c>
      <c r="B86" s="995" t="s">
        <v>1127</v>
      </c>
      <c r="C86" s="967">
        <f>mo!D114</f>
        <v>10000</v>
      </c>
      <c r="D86" s="968"/>
      <c r="E86" s="967">
        <f>mo!E114</f>
        <v>0</v>
      </c>
    </row>
    <row r="87" spans="1:5" ht="12">
      <c r="A87" s="1026" t="s">
        <v>367</v>
      </c>
      <c r="B87" s="1128" t="s">
        <v>364</v>
      </c>
      <c r="C87" s="942">
        <f>mo!D115</f>
        <v>700</v>
      </c>
      <c r="D87" s="950">
        <v>700</v>
      </c>
      <c r="E87" s="942"/>
    </row>
    <row r="88" spans="1:5" ht="12.75" thickBot="1">
      <c r="A88" s="1135" t="s">
        <v>1128</v>
      </c>
      <c r="B88" s="1136" t="s">
        <v>1129</v>
      </c>
      <c r="C88" s="1142">
        <f>SUM(C89:C95)</f>
        <v>116000</v>
      </c>
      <c r="D88" s="1143">
        <v>116000</v>
      </c>
      <c r="E88" s="1144">
        <f>SUM(E89:E95)</f>
        <v>20851.280000000002</v>
      </c>
    </row>
    <row r="89" spans="1:5" ht="24">
      <c r="A89" s="1025" t="s">
        <v>1130</v>
      </c>
      <c r="B89" s="997" t="s">
        <v>1131</v>
      </c>
      <c r="C89" s="939">
        <f>mo!D118</f>
        <v>84200</v>
      </c>
      <c r="D89" s="965"/>
      <c r="E89" s="939">
        <f>mo!E118</f>
        <v>17531.650000000001</v>
      </c>
    </row>
    <row r="90" spans="1:5" ht="12">
      <c r="A90" s="1026" t="s">
        <v>79</v>
      </c>
      <c r="B90" s="993" t="s">
        <v>1132</v>
      </c>
      <c r="C90" s="942"/>
      <c r="D90" s="950"/>
      <c r="E90" s="942"/>
    </row>
    <row r="91" spans="1:5" ht="12">
      <c r="A91" s="1026" t="s">
        <v>1133</v>
      </c>
      <c r="B91" s="993" t="s">
        <v>1134</v>
      </c>
      <c r="C91" s="942">
        <f>mo!D119</f>
        <v>25800</v>
      </c>
      <c r="D91" s="950"/>
      <c r="E91" s="942">
        <f>mo!E119</f>
        <v>3319.63</v>
      </c>
    </row>
    <row r="92" spans="1:5" ht="12">
      <c r="A92" s="1026" t="s">
        <v>83</v>
      </c>
      <c r="B92" s="993" t="s">
        <v>1135</v>
      </c>
      <c r="C92" s="942">
        <f>mo!D123</f>
        <v>3000</v>
      </c>
      <c r="D92" s="966"/>
      <c r="E92" s="947">
        <f>mo!E123</f>
        <v>0</v>
      </c>
    </row>
    <row r="93" spans="1:5" ht="12">
      <c r="A93" s="1026" t="s">
        <v>85</v>
      </c>
      <c r="B93" s="993" t="s">
        <v>297</v>
      </c>
      <c r="C93" s="942">
        <f>mo!D124</f>
        <v>2000</v>
      </c>
      <c r="D93" s="966"/>
      <c r="E93" s="947"/>
    </row>
    <row r="94" spans="1:5" ht="12">
      <c r="A94" s="1026" t="s">
        <v>87</v>
      </c>
      <c r="B94" s="993" t="s">
        <v>299</v>
      </c>
      <c r="C94" s="942"/>
      <c r="D94" s="966"/>
      <c r="E94" s="947"/>
    </row>
    <row r="95" spans="1:5" ht="24.75" thickBot="1">
      <c r="A95" s="1020" t="s">
        <v>100</v>
      </c>
      <c r="B95" s="994" t="s">
        <v>1137</v>
      </c>
      <c r="C95" s="947">
        <f>mo!D128</f>
        <v>1000</v>
      </c>
      <c r="D95" s="966"/>
      <c r="E95" s="947">
        <f>mo!E128</f>
        <v>0</v>
      </c>
    </row>
    <row r="96" spans="1:5" ht="12.75" thickBot="1">
      <c r="A96" s="1027" t="s">
        <v>1138</v>
      </c>
      <c r="B96" s="989" t="s">
        <v>1236</v>
      </c>
      <c r="C96" s="978">
        <f>SUM(C97:C101)</f>
        <v>600000</v>
      </c>
      <c r="D96" s="979">
        <v>600000</v>
      </c>
      <c r="E96" s="980">
        <f>SUM(E97:E101)</f>
        <v>0</v>
      </c>
    </row>
    <row r="97" spans="1:5" ht="12">
      <c r="A97" s="1026" t="s">
        <v>91</v>
      </c>
      <c r="B97" s="997" t="s">
        <v>1140</v>
      </c>
      <c r="C97" s="939">
        <f>mo!D137</f>
        <v>35000</v>
      </c>
      <c r="D97" s="965"/>
      <c r="E97" s="939">
        <v>0</v>
      </c>
    </row>
    <row r="98" spans="1:5" ht="24">
      <c r="A98" s="1020" t="s">
        <v>100</v>
      </c>
      <c r="B98" s="995" t="s">
        <v>117</v>
      </c>
      <c r="C98" s="947">
        <f>mo!D139</f>
        <v>10000</v>
      </c>
      <c r="D98" s="968"/>
      <c r="E98" s="967">
        <f>mo!E139</f>
        <v>0</v>
      </c>
    </row>
    <row r="99" spans="1:5" ht="12">
      <c r="A99" s="1026" t="s">
        <v>91</v>
      </c>
      <c r="B99" s="1128" t="s">
        <v>1250</v>
      </c>
      <c r="C99" s="942">
        <f>mo!D149</f>
        <v>0</v>
      </c>
      <c r="D99" s="950"/>
      <c r="E99" s="942">
        <f>mo!E149</f>
        <v>0</v>
      </c>
    </row>
    <row r="100" spans="1:5" ht="24">
      <c r="A100" s="1026" t="s">
        <v>97</v>
      </c>
      <c r="B100" s="1128" t="s">
        <v>1251</v>
      </c>
      <c r="C100" s="947">
        <f>mo!D151</f>
        <v>555000</v>
      </c>
      <c r="D100" s="966"/>
      <c r="E100" s="947">
        <f>mo!E151</f>
        <v>0</v>
      </c>
    </row>
    <row r="101" spans="1:5" ht="24.75" thickBot="1">
      <c r="A101" s="1020" t="s">
        <v>100</v>
      </c>
      <c r="B101" s="994" t="s">
        <v>1237</v>
      </c>
      <c r="C101" s="947">
        <f>mo!D152</f>
        <v>0</v>
      </c>
      <c r="D101" s="966"/>
      <c r="E101" s="947">
        <f>mo!E152</f>
        <v>0</v>
      </c>
    </row>
    <row r="102" spans="1:5" ht="12.75" thickBot="1">
      <c r="A102" s="1023" t="s">
        <v>1238</v>
      </c>
      <c r="B102" s="990" t="s">
        <v>1239</v>
      </c>
      <c r="C102" s="981">
        <f>SUM(C103:C106)</f>
        <v>1325000</v>
      </c>
      <c r="D102" s="982">
        <v>1325000</v>
      </c>
      <c r="E102" s="983">
        <f>SUM(E103:E106)</f>
        <v>29700</v>
      </c>
    </row>
    <row r="103" spans="1:5" ht="12">
      <c r="A103" s="1025" t="s">
        <v>1166</v>
      </c>
      <c r="B103" s="997" t="s">
        <v>1167</v>
      </c>
      <c r="C103" s="939">
        <f>mo!D154</f>
        <v>0</v>
      </c>
      <c r="D103" s="965"/>
      <c r="E103" s="939">
        <f>mo!E154</f>
        <v>0</v>
      </c>
    </row>
    <row r="104" spans="1:5" ht="12">
      <c r="A104" s="1026" t="s">
        <v>91</v>
      </c>
      <c r="B104" s="997" t="s">
        <v>1934</v>
      </c>
      <c r="C104" s="939"/>
      <c r="D104" s="965"/>
      <c r="E104" s="939"/>
    </row>
    <row r="105" spans="1:5" ht="36">
      <c r="A105" s="1026" t="s">
        <v>144</v>
      </c>
      <c r="B105" s="993" t="s">
        <v>2024</v>
      </c>
      <c r="C105" s="942">
        <f>mo!D160</f>
        <v>898900</v>
      </c>
      <c r="D105" s="950"/>
      <c r="E105" s="942">
        <f>mo!E160</f>
        <v>0</v>
      </c>
    </row>
    <row r="106" spans="1:5" ht="12.75" thickBot="1">
      <c r="A106" s="1020" t="s">
        <v>91</v>
      </c>
      <c r="B106" s="994" t="s">
        <v>1172</v>
      </c>
      <c r="C106" s="947">
        <f>mo!D165</f>
        <v>426100</v>
      </c>
      <c r="D106" s="966"/>
      <c r="E106" s="947">
        <f>mo!E166</f>
        <v>29700</v>
      </c>
    </row>
    <row r="107" spans="1:5" ht="12.75" thickBot="1">
      <c r="A107" s="1027" t="s">
        <v>142</v>
      </c>
      <c r="B107" s="989" t="s">
        <v>1173</v>
      </c>
      <c r="C107" s="978">
        <f>C108+C112+C118</f>
        <v>2012692.22</v>
      </c>
      <c r="D107" s="979">
        <v>1200000</v>
      </c>
      <c r="E107" s="980">
        <f>E108+E112+E118</f>
        <v>166134.62</v>
      </c>
    </row>
    <row r="108" spans="1:5" ht="12">
      <c r="A108" s="1123" t="s">
        <v>2034</v>
      </c>
      <c r="B108" s="1134" t="s">
        <v>1174</v>
      </c>
      <c r="C108" s="1156">
        <f>mo!D168</f>
        <v>360500</v>
      </c>
      <c r="D108" s="1157">
        <v>250000</v>
      </c>
      <c r="E108" s="1158">
        <f>mo!E168</f>
        <v>0</v>
      </c>
    </row>
    <row r="109" spans="1:5" ht="12">
      <c r="A109" s="1026" t="s">
        <v>91</v>
      </c>
      <c r="B109" s="1026" t="s">
        <v>1935</v>
      </c>
      <c r="C109" s="1065">
        <f>mo!D175</f>
        <v>150000</v>
      </c>
      <c r="D109" s="1066">
        <v>150000</v>
      </c>
      <c r="E109" s="1065">
        <f>mo!E175</f>
        <v>0</v>
      </c>
    </row>
    <row r="110" spans="1:5" ht="24">
      <c r="A110" s="1026" t="s">
        <v>100</v>
      </c>
      <c r="B110" s="1026" t="s">
        <v>1290</v>
      </c>
      <c r="C110" s="1065">
        <f>mo!D180</f>
        <v>210500</v>
      </c>
      <c r="D110" s="1066">
        <v>100000</v>
      </c>
      <c r="E110" s="1065"/>
    </row>
    <row r="111" spans="1:5" ht="36.75" thickBot="1">
      <c r="A111" s="1028" t="s">
        <v>144</v>
      </c>
      <c r="B111" s="995" t="s">
        <v>670</v>
      </c>
      <c r="C111" s="1029">
        <f>mo!D176</f>
        <v>0</v>
      </c>
      <c r="D111" s="1030"/>
      <c r="E111" s="1029">
        <f>mo!E176</f>
        <v>0</v>
      </c>
    </row>
    <row r="112" spans="1:5" ht="12.75" thickBot="1">
      <c r="A112" s="1027" t="s">
        <v>146</v>
      </c>
      <c r="B112" s="1134" t="s">
        <v>1464</v>
      </c>
      <c r="C112" s="1125">
        <f>mo!D182</f>
        <v>822192.22</v>
      </c>
      <c r="D112" s="1126">
        <v>120000</v>
      </c>
      <c r="E112" s="1127">
        <f>mo!E182</f>
        <v>0</v>
      </c>
    </row>
    <row r="113" spans="1:5" ht="12">
      <c r="A113" s="1026" t="s">
        <v>89</v>
      </c>
      <c r="B113" s="1128" t="s">
        <v>1178</v>
      </c>
      <c r="C113" s="942">
        <f>mo!D188</f>
        <v>752192.22</v>
      </c>
      <c r="D113" s="950"/>
      <c r="E113" s="942">
        <f>mo!E188</f>
        <v>0</v>
      </c>
    </row>
    <row r="114" spans="1:5" ht="12">
      <c r="A114" s="1026" t="s">
        <v>91</v>
      </c>
      <c r="B114" s="1128" t="s">
        <v>107</v>
      </c>
      <c r="C114" s="942">
        <f>mo!D189</f>
        <v>50000</v>
      </c>
      <c r="D114" s="950"/>
      <c r="E114" s="942">
        <f>mo!E189</f>
        <v>0</v>
      </c>
    </row>
    <row r="115" spans="1:5" ht="12">
      <c r="A115" s="1176" t="s">
        <v>1460</v>
      </c>
      <c r="B115" s="1128" t="s">
        <v>1253</v>
      </c>
      <c r="C115" s="942">
        <f>mo!D192</f>
        <v>0</v>
      </c>
      <c r="D115" s="950"/>
      <c r="E115" s="942">
        <f>mo!E192</f>
        <v>0</v>
      </c>
    </row>
    <row r="116" spans="1:5" ht="24">
      <c r="A116" s="1026" t="s">
        <v>97</v>
      </c>
      <c r="B116" s="1128" t="s">
        <v>1179</v>
      </c>
      <c r="C116" s="942">
        <f>mo!D191</f>
        <v>0</v>
      </c>
      <c r="D116" s="950"/>
      <c r="E116" s="942">
        <f>mo!E191</f>
        <v>0</v>
      </c>
    </row>
    <row r="117" spans="1:5" ht="12">
      <c r="A117" s="1026" t="s">
        <v>85</v>
      </c>
      <c r="B117" s="1128" t="s">
        <v>2321</v>
      </c>
      <c r="C117" s="942">
        <f>mo!D186</f>
        <v>20000</v>
      </c>
      <c r="D117" s="950"/>
      <c r="E117" s="942">
        <f>mo!E186</f>
        <v>0</v>
      </c>
    </row>
    <row r="118" spans="1:5" ht="24.75" thickBot="1">
      <c r="A118" s="1025" t="s">
        <v>97</v>
      </c>
      <c r="B118" s="1465" t="s">
        <v>1180</v>
      </c>
      <c r="C118" s="1142">
        <f>mo!D195</f>
        <v>830000</v>
      </c>
      <c r="D118" s="1143">
        <v>830000</v>
      </c>
      <c r="E118" s="1144">
        <f>mo!E195</f>
        <v>166134.62</v>
      </c>
    </row>
    <row r="119" spans="1:5" ht="12">
      <c r="A119" s="1026" t="s">
        <v>85</v>
      </c>
      <c r="B119" s="997" t="s">
        <v>108</v>
      </c>
      <c r="C119" s="951">
        <f>mo!D198</f>
        <v>250000</v>
      </c>
      <c r="D119" s="940"/>
      <c r="E119" s="951"/>
    </row>
    <row r="120" spans="1:5" ht="12">
      <c r="A120" s="1026" t="s">
        <v>91</v>
      </c>
      <c r="B120" s="997" t="s">
        <v>1936</v>
      </c>
      <c r="C120" s="996">
        <f>mo!D202</f>
        <v>175000</v>
      </c>
      <c r="D120" s="960"/>
      <c r="E120" s="996">
        <f>mo!E199</f>
        <v>0</v>
      </c>
    </row>
    <row r="121" spans="1:5" ht="36">
      <c r="A121" s="1020" t="s">
        <v>144</v>
      </c>
      <c r="B121" s="994" t="s">
        <v>1183</v>
      </c>
      <c r="C121" s="1078">
        <f>mo!D199</f>
        <v>0</v>
      </c>
      <c r="D121" s="1079"/>
      <c r="E121" s="1078">
        <f>mo!E198</f>
        <v>93131.86</v>
      </c>
    </row>
    <row r="122" spans="1:5" ht="36">
      <c r="A122" s="1020" t="s">
        <v>144</v>
      </c>
      <c r="B122" s="1086" t="s">
        <v>291</v>
      </c>
      <c r="C122" s="1078">
        <f>mo!D198</f>
        <v>250000</v>
      </c>
      <c r="D122" s="1079"/>
      <c r="E122" s="1078">
        <f>mo!E206</f>
        <v>71302.759999999995</v>
      </c>
    </row>
    <row r="123" spans="1:5" ht="24">
      <c r="A123" s="1026" t="s">
        <v>97</v>
      </c>
      <c r="B123" s="1128" t="s">
        <v>1182</v>
      </c>
      <c r="C123" s="1078">
        <f>mo!D203</f>
        <v>0</v>
      </c>
      <c r="D123" s="1079"/>
      <c r="E123" s="1078">
        <f>mo!E206</f>
        <v>71302.759999999995</v>
      </c>
    </row>
    <row r="124" spans="1:5" ht="24">
      <c r="A124" s="1020" t="s">
        <v>100</v>
      </c>
      <c r="B124" s="1128" t="s">
        <v>1943</v>
      </c>
      <c r="C124" s="1161">
        <f>mo!D204</f>
        <v>10000</v>
      </c>
      <c r="D124" s="1162"/>
      <c r="E124" s="1161">
        <f>mo!E204</f>
        <v>1700</v>
      </c>
    </row>
    <row r="125" spans="1:5" ht="12.75" thickBot="1">
      <c r="A125" s="1163" t="s">
        <v>182</v>
      </c>
      <c r="B125" s="1136" t="s">
        <v>223</v>
      </c>
      <c r="C125" s="1091">
        <f>C127+C129+C126+C128+C130</f>
        <v>150000</v>
      </c>
      <c r="D125" s="1118">
        <v>150000</v>
      </c>
      <c r="E125" s="1091">
        <f>E127+E129+E128+E130</f>
        <v>7650</v>
      </c>
    </row>
    <row r="126" spans="1:5" ht="12.75" thickBot="1">
      <c r="A126" s="1116"/>
      <c r="B126" s="1117" t="s">
        <v>1461</v>
      </c>
      <c r="C126" s="1091">
        <f>mo!D217</f>
        <v>0</v>
      </c>
      <c r="D126" s="1118"/>
      <c r="E126" s="1091"/>
    </row>
    <row r="127" spans="1:5" ht="12.75" thickBot="1">
      <c r="A127" s="1020" t="s">
        <v>91</v>
      </c>
      <c r="B127" s="1117" t="s">
        <v>1187</v>
      </c>
      <c r="C127" s="1078">
        <f>mo!D213</f>
        <v>30000</v>
      </c>
      <c r="D127" s="1090"/>
      <c r="E127" s="1078">
        <f>mo!E213</f>
        <v>0</v>
      </c>
    </row>
    <row r="128" spans="1:5" ht="12.75" thickBot="1">
      <c r="A128" s="1028" t="s">
        <v>95</v>
      </c>
      <c r="B128" s="1117" t="s">
        <v>1255</v>
      </c>
      <c r="C128" s="1078">
        <f>mo!D214</f>
        <v>100000</v>
      </c>
      <c r="D128" s="1090"/>
      <c r="E128" s="1078">
        <f>mo!E214</f>
        <v>7650</v>
      </c>
    </row>
    <row r="129" spans="1:5" ht="12.75" thickBot="1">
      <c r="A129" s="1020" t="s">
        <v>1176</v>
      </c>
      <c r="B129" s="1500" t="s">
        <v>1189</v>
      </c>
      <c r="C129" s="1078">
        <f>mo!D216</f>
        <v>20000</v>
      </c>
      <c r="D129" s="1090"/>
      <c r="E129" s="1078">
        <f>mo!E216</f>
        <v>0</v>
      </c>
    </row>
    <row r="130" spans="1:5" ht="24">
      <c r="A130" s="1026" t="s">
        <v>100</v>
      </c>
      <c r="B130" s="1500" t="s">
        <v>1190</v>
      </c>
      <c r="C130" s="1161">
        <f>mo!D217</f>
        <v>0</v>
      </c>
      <c r="D130" s="1162"/>
      <c r="E130" s="1161">
        <f>mo!E217</f>
        <v>0</v>
      </c>
    </row>
    <row r="131" spans="1:5" ht="12.75" thickBot="1">
      <c r="A131" s="1135" t="s">
        <v>1240</v>
      </c>
      <c r="B131" s="1501" t="s">
        <v>1196</v>
      </c>
      <c r="C131" s="1502">
        <f>C133+C136+C135+C132+C134</f>
        <v>40000</v>
      </c>
      <c r="D131" s="960">
        <v>40000</v>
      </c>
      <c r="E131" s="1503">
        <f>E133+E136+E135+E132+E134</f>
        <v>22200</v>
      </c>
    </row>
    <row r="132" spans="1:5" ht="12">
      <c r="A132" s="1026" t="s">
        <v>85</v>
      </c>
      <c r="B132" s="1128" t="s">
        <v>1256</v>
      </c>
      <c r="C132" s="1053">
        <f>mo!D224</f>
        <v>25000</v>
      </c>
      <c r="D132" s="943"/>
      <c r="E132" s="945">
        <f>mo!E224</f>
        <v>20000</v>
      </c>
    </row>
    <row r="133" spans="1:5" ht="24">
      <c r="A133" s="1025" t="s">
        <v>1241</v>
      </c>
      <c r="B133" s="997" t="s">
        <v>1198</v>
      </c>
      <c r="C133" s="939">
        <f>mo!D225</f>
        <v>15000</v>
      </c>
      <c r="D133" s="965"/>
      <c r="E133" s="939">
        <f>mo!E225</f>
        <v>2200</v>
      </c>
    </row>
    <row r="134" spans="1:5" ht="12">
      <c r="A134" s="1028" t="s">
        <v>95</v>
      </c>
      <c r="B134" s="995" t="s">
        <v>1258</v>
      </c>
      <c r="C134" s="967">
        <f>mo!D226</f>
        <v>0</v>
      </c>
      <c r="D134" s="968"/>
      <c r="E134" s="967">
        <f>mo!E226</f>
        <v>0</v>
      </c>
    </row>
    <row r="135" spans="1:5" ht="24">
      <c r="A135" s="1026" t="s">
        <v>97</v>
      </c>
      <c r="B135" s="994" t="s">
        <v>298</v>
      </c>
      <c r="C135" s="967">
        <f>mo!D227</f>
        <v>0</v>
      </c>
      <c r="D135" s="968"/>
      <c r="E135" s="967">
        <f>mo!E227</f>
        <v>0</v>
      </c>
    </row>
    <row r="136" spans="1:5" ht="24.75" thickBot="1">
      <c r="A136" s="1020" t="s">
        <v>100</v>
      </c>
      <c r="B136" s="994" t="s">
        <v>1242</v>
      </c>
      <c r="C136" s="947">
        <f>mo!D228</f>
        <v>0</v>
      </c>
      <c r="D136" s="966"/>
      <c r="E136" s="947">
        <f>mo!E228</f>
        <v>0</v>
      </c>
    </row>
    <row r="137" spans="1:5" ht="24.75" thickBot="1">
      <c r="A137" s="1027" t="s">
        <v>1205</v>
      </c>
      <c r="B137" s="989" t="s">
        <v>1206</v>
      </c>
      <c r="C137" s="978">
        <f>C138</f>
        <v>0</v>
      </c>
      <c r="D137" s="979">
        <f>D138</f>
        <v>0</v>
      </c>
      <c r="E137" s="980">
        <f>E138</f>
        <v>0</v>
      </c>
    </row>
    <row r="138" spans="1:5" ht="12.75" thickBot="1">
      <c r="A138" s="1028" t="s">
        <v>1092</v>
      </c>
      <c r="B138" s="995" t="s">
        <v>1207</v>
      </c>
      <c r="C138" s="967">
        <f>mo!D239</f>
        <v>0</v>
      </c>
      <c r="D138" s="968"/>
      <c r="E138" s="967">
        <f>mo!E239</f>
        <v>0</v>
      </c>
    </row>
    <row r="139" spans="1:5" ht="12.75" thickBot="1">
      <c r="A139" s="1027" t="s">
        <v>69</v>
      </c>
      <c r="B139" s="989" t="s">
        <v>2079</v>
      </c>
      <c r="C139" s="978">
        <f>C140</f>
        <v>740707.78</v>
      </c>
      <c r="D139" s="979">
        <f>D140</f>
        <v>930300</v>
      </c>
      <c r="E139" s="980">
        <f>E140</f>
        <v>232573.39</v>
      </c>
    </row>
    <row r="140" spans="1:5" ht="12.75" thickBot="1">
      <c r="A140" s="1028" t="s">
        <v>73</v>
      </c>
      <c r="B140" s="995" t="s">
        <v>1208</v>
      </c>
      <c r="C140" s="967">
        <f>mo!D241</f>
        <v>740707.78</v>
      </c>
      <c r="D140" s="968">
        <v>930300</v>
      </c>
      <c r="E140" s="967">
        <f>mo!E241</f>
        <v>232573.39</v>
      </c>
    </row>
    <row r="141" spans="1:5" ht="12.75" thickBot="1">
      <c r="A141" s="1027" t="s">
        <v>1209</v>
      </c>
      <c r="B141" s="1031" t="s">
        <v>1210</v>
      </c>
      <c r="C141" s="978">
        <f>C47+C88+C96+C107+C139+C131+C102+C125</f>
        <v>11885200</v>
      </c>
      <c r="D141" s="978">
        <f>D47+D88+D96+D107+D139+D131+D102+D125</f>
        <v>11262100</v>
      </c>
      <c r="E141" s="978">
        <f>E47+E88+E96+E107+E139+E131+E102+E125</f>
        <v>1870226.06</v>
      </c>
    </row>
    <row r="142" spans="1:5" ht="12">
      <c r="A142" s="1032"/>
      <c r="B142" s="998"/>
      <c r="C142" s="951"/>
      <c r="D142" s="940"/>
      <c r="E142" s="951"/>
    </row>
    <row r="143" spans="1:5" ht="24">
      <c r="A143" s="1051" t="s">
        <v>1211</v>
      </c>
      <c r="B143" s="1080" t="s">
        <v>1212</v>
      </c>
      <c r="C143" s="1053">
        <f>C44-C141</f>
        <v>-418200</v>
      </c>
      <c r="D143" s="1054">
        <f>D44-D141</f>
        <v>-418200</v>
      </c>
      <c r="E143" s="1053">
        <f>E44-E141</f>
        <v>474634.18999999994</v>
      </c>
    </row>
    <row r="144" spans="1:5" ht="36">
      <c r="A144" s="1055" t="s">
        <v>1213</v>
      </c>
      <c r="B144" s="1036" t="s">
        <v>1214</v>
      </c>
      <c r="C144" s="945"/>
      <c r="D144" s="943"/>
      <c r="E144" s="945"/>
    </row>
    <row r="145" spans="1:6" ht="24">
      <c r="A145" s="1026" t="s">
        <v>1215</v>
      </c>
      <c r="B145" s="1036" t="s">
        <v>999</v>
      </c>
      <c r="C145" s="945"/>
      <c r="D145" s="943"/>
      <c r="E145" s="945"/>
    </row>
    <row r="146" spans="1:6" ht="12">
      <c r="A146" s="1026" t="s">
        <v>1216</v>
      </c>
      <c r="B146" s="1036" t="s">
        <v>1002</v>
      </c>
      <c r="C146" s="945"/>
      <c r="D146" s="943"/>
      <c r="E146" s="945"/>
    </row>
    <row r="147" spans="1:6" ht="12">
      <c r="A147" s="1026" t="s">
        <v>1217</v>
      </c>
      <c r="B147" s="1036" t="s">
        <v>1003</v>
      </c>
      <c r="C147" s="945"/>
      <c r="D147" s="943"/>
      <c r="E147" s="945"/>
    </row>
    <row r="148" spans="1:6" ht="12">
      <c r="A148" s="1026" t="s">
        <v>1218</v>
      </c>
      <c r="B148" s="1036"/>
      <c r="C148" s="945"/>
      <c r="D148" s="943"/>
      <c r="E148" s="945"/>
    </row>
    <row r="149" spans="1:6" ht="24">
      <c r="A149" s="1037" t="s">
        <v>1219</v>
      </c>
      <c r="B149" s="1038" t="s">
        <v>1004</v>
      </c>
      <c r="C149" s="1039">
        <f>C150+C151</f>
        <v>418200</v>
      </c>
      <c r="D149" s="1040">
        <f>D150+D151</f>
        <v>418200</v>
      </c>
      <c r="E149" s="1039">
        <f>E150+E151</f>
        <v>-474634.18999999994</v>
      </c>
    </row>
    <row r="150" spans="1:6" ht="24">
      <c r="A150" s="1026" t="s">
        <v>1220</v>
      </c>
      <c r="B150" s="1036" t="s">
        <v>1006</v>
      </c>
      <c r="C150" s="945">
        <f>-(C44+C145+C146)</f>
        <v>-11467000</v>
      </c>
      <c r="D150" s="943">
        <f>-(D44+D145+D146)</f>
        <v>-10843900</v>
      </c>
      <c r="E150" s="945">
        <f>-(E44+E145+E146)</f>
        <v>-2344860.25</v>
      </c>
    </row>
    <row r="151" spans="1:6" ht="24">
      <c r="A151" s="1026" t="s">
        <v>1221</v>
      </c>
      <c r="B151" s="1036" t="s">
        <v>1008</v>
      </c>
      <c r="C151" s="945">
        <f>C141-C147</f>
        <v>11885200</v>
      </c>
      <c r="D151" s="943">
        <f>D141-D147</f>
        <v>11262100</v>
      </c>
      <c r="E151" s="963">
        <f>E141-E147</f>
        <v>1870226.06</v>
      </c>
    </row>
    <row r="152" spans="1:6" ht="12">
      <c r="A152" s="1037" t="s">
        <v>1222</v>
      </c>
      <c r="B152" s="1038" t="s">
        <v>1214</v>
      </c>
      <c r="C152" s="1039">
        <f>C145+C146+C147+C149</f>
        <v>418200</v>
      </c>
      <c r="D152" s="1040">
        <f>D145+D146+D147+D149</f>
        <v>418200</v>
      </c>
      <c r="E152" s="1039">
        <f>E145+E146-E147+E149</f>
        <v>-474634.18999999994</v>
      </c>
    </row>
    <row r="153" spans="1:6" ht="12">
      <c r="A153" s="1041"/>
      <c r="B153" s="1032"/>
      <c r="C153" s="1032"/>
      <c r="D153" s="1042"/>
      <c r="E153" s="1000"/>
    </row>
    <row r="154" spans="1:6" ht="12">
      <c r="A154" s="1041" t="s">
        <v>3443</v>
      </c>
      <c r="B154" s="1041"/>
      <c r="C154" s="1032"/>
      <c r="D154" s="1032"/>
      <c r="E154" s="1042"/>
      <c r="F154" s="1000"/>
    </row>
    <row r="155" spans="1:6" ht="12">
      <c r="A155" s="998" t="s">
        <v>3001</v>
      </c>
      <c r="B155" s="1131"/>
      <c r="C155" s="1032"/>
      <c r="D155" s="1032"/>
      <c r="E155" s="1042"/>
      <c r="F155" s="1000"/>
    </row>
    <row r="156" spans="1:6" ht="12">
      <c r="A156" s="998" t="s">
        <v>3002</v>
      </c>
      <c r="B156" s="1131">
        <v>0</v>
      </c>
      <c r="C156" s="1032"/>
      <c r="D156" s="1032"/>
      <c r="E156" s="1042"/>
      <c r="F156" s="1000"/>
    </row>
    <row r="157" spans="1:6" ht="12">
      <c r="A157" s="998" t="s">
        <v>3003</v>
      </c>
      <c r="B157" s="1131">
        <v>304387.82</v>
      </c>
      <c r="C157" s="1032"/>
      <c r="D157" s="1032"/>
      <c r="E157" s="1042"/>
      <c r="F157" s="1000"/>
    </row>
    <row r="158" spans="1:6" ht="12">
      <c r="A158" s="998" t="s">
        <v>2874</v>
      </c>
      <c r="B158" s="1131">
        <v>113826.03</v>
      </c>
      <c r="C158" s="1032"/>
      <c r="D158" s="1032"/>
      <c r="E158" s="1042"/>
      <c r="F158" s="1000"/>
    </row>
    <row r="159" spans="1:6" ht="12">
      <c r="A159" s="998" t="s">
        <v>3442</v>
      </c>
      <c r="B159" s="1131">
        <v>21441.200000000001</v>
      </c>
      <c r="C159" s="1032"/>
      <c r="D159" s="1032"/>
      <c r="E159" s="1042"/>
      <c r="F159" s="1000"/>
    </row>
    <row r="160" spans="1:6" ht="12">
      <c r="A160" s="998" t="s">
        <v>2873</v>
      </c>
      <c r="B160" s="1131">
        <v>514316.31</v>
      </c>
      <c r="C160" s="1032"/>
      <c r="D160" s="1032"/>
      <c r="E160" s="1042"/>
      <c r="F160" s="1000"/>
    </row>
    <row r="161" spans="1:6" ht="12">
      <c r="A161" s="1131" t="s">
        <v>2758</v>
      </c>
      <c r="B161" s="1131"/>
      <c r="C161" s="1032"/>
      <c r="D161" s="1032"/>
      <c r="E161" s="1042"/>
      <c r="F161" s="1000"/>
    </row>
    <row r="162" spans="1:6" ht="12">
      <c r="A162" s="1041" t="s">
        <v>3004</v>
      </c>
      <c r="B162" s="1920">
        <f>SUM(B155:B161)</f>
        <v>953971.36</v>
      </c>
      <c r="C162" s="1032"/>
      <c r="D162" s="1032"/>
      <c r="E162" s="1042"/>
      <c r="F162" s="1000"/>
    </row>
    <row r="163" spans="1:6" ht="12">
      <c r="A163" s="1041"/>
      <c r="B163" s="1041"/>
      <c r="C163" s="1032"/>
      <c r="D163" s="1032"/>
      <c r="E163" s="1042"/>
      <c r="F163" s="1000"/>
    </row>
    <row r="164" spans="1:6" ht="12">
      <c r="A164" s="998" t="s">
        <v>67</v>
      </c>
      <c r="B164" s="1043"/>
      <c r="C164" s="1044"/>
      <c r="D164" s="998" t="s">
        <v>768</v>
      </c>
      <c r="E164" s="1000"/>
    </row>
    <row r="165" spans="1:6" ht="12">
      <c r="A165" s="1000"/>
      <c r="B165" s="1000"/>
      <c r="C165" s="1000"/>
      <c r="D165" s="1000"/>
      <c r="E165" s="1000"/>
    </row>
    <row r="166" spans="1:6" ht="12">
      <c r="A166" s="998" t="s">
        <v>1223</v>
      </c>
      <c r="B166" s="1043"/>
      <c r="C166" s="1032" t="s">
        <v>871</v>
      </c>
      <c r="D166" s="998" t="s">
        <v>2876</v>
      </c>
      <c r="E166" s="1000"/>
    </row>
    <row r="167" spans="1:6" ht="12">
      <c r="A167" s="1000"/>
      <c r="B167" s="1045"/>
      <c r="C167" s="1000"/>
      <c r="D167" s="1000"/>
      <c r="E167" s="1000"/>
    </row>
    <row r="168" spans="1:6" ht="12">
      <c r="A168" s="998" t="s">
        <v>68</v>
      </c>
      <c r="B168" s="1046"/>
      <c r="C168" s="1047"/>
      <c r="D168" s="998" t="s">
        <v>769</v>
      </c>
      <c r="E168" s="1000"/>
    </row>
  </sheetData>
  <phoneticPr fontId="0" type="noConversion"/>
  <pageMargins left="0.55118110236220474" right="0.17" top="0.17" bottom="0.17" header="0.17" footer="0.17"/>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7" enableFormatConditionsCalculation="0">
    <tabColor indexed="24"/>
    <pageSetUpPr fitToPage="1"/>
  </sheetPr>
  <dimension ref="A1:E188"/>
  <sheetViews>
    <sheetView topLeftCell="A147" zoomScaleNormal="100" workbookViewId="0">
      <selection activeCell="B7" sqref="B7"/>
    </sheetView>
  </sheetViews>
  <sheetFormatPr defaultRowHeight="11.25"/>
  <cols>
    <col min="1" max="1" width="42.5" customWidth="1"/>
    <col min="2" max="2" width="33.1640625" customWidth="1"/>
    <col min="3" max="3" width="17.33203125" customWidth="1"/>
    <col min="4" max="4" width="24.6640625" customWidth="1"/>
    <col min="5" max="5" width="25.83203125" customWidth="1"/>
  </cols>
  <sheetData>
    <row r="1" spans="1:5" ht="12">
      <c r="A1" s="998"/>
      <c r="B1" s="999" t="s">
        <v>1036</v>
      </c>
      <c r="C1" s="999"/>
      <c r="D1" s="998"/>
      <c r="E1" s="1000"/>
    </row>
    <row r="2" spans="1:5" ht="12">
      <c r="A2" s="998"/>
      <c r="B2" s="999" t="s">
        <v>1038</v>
      </c>
      <c r="C2" s="999"/>
      <c r="D2" s="998"/>
      <c r="E2" s="1000"/>
    </row>
    <row r="3" spans="1:5" ht="12">
      <c r="A3" s="998"/>
      <c r="B3" s="999" t="s">
        <v>1243</v>
      </c>
      <c r="C3" s="999"/>
      <c r="D3" s="998"/>
      <c r="E3" s="1000"/>
    </row>
    <row r="4" spans="1:5" ht="12">
      <c r="A4" s="998" t="s">
        <v>3441</v>
      </c>
      <c r="B4" s="998"/>
      <c r="C4" s="998"/>
      <c r="D4" s="998"/>
      <c r="E4" s="1000"/>
    </row>
    <row r="5" spans="1:5" ht="24.75" thickBot="1">
      <c r="A5" s="1057" t="s">
        <v>1040</v>
      </c>
      <c r="B5" s="1057" t="s">
        <v>1041</v>
      </c>
      <c r="C5" s="1057" t="s">
        <v>1042</v>
      </c>
      <c r="D5" s="1002" t="s">
        <v>1043</v>
      </c>
      <c r="E5" s="1057" t="s">
        <v>688</v>
      </c>
    </row>
    <row r="6" spans="1:5" ht="12.75" thickBot="1">
      <c r="A6" s="1003" t="s">
        <v>1044</v>
      </c>
      <c r="B6" s="1004" t="s">
        <v>1045</v>
      </c>
      <c r="C6" s="934">
        <f>SUM(C7:C26)</f>
        <v>583600</v>
      </c>
      <c r="D6" s="935">
        <f>SUM(D7:D26)</f>
        <v>583600</v>
      </c>
      <c r="E6" s="934">
        <f>SUM(E7:E25)</f>
        <v>87530.559999999998</v>
      </c>
    </row>
    <row r="7" spans="1:5" ht="120">
      <c r="A7" s="932" t="s">
        <v>1031</v>
      </c>
      <c r="B7" s="933" t="s">
        <v>2184</v>
      </c>
      <c r="C7" s="939">
        <f>mo!F5</f>
        <v>306000</v>
      </c>
      <c r="D7" s="940">
        <v>306000</v>
      </c>
      <c r="E7" s="939">
        <f>mo!G5</f>
        <v>56569.31</v>
      </c>
    </row>
    <row r="8" spans="1:5" ht="120">
      <c r="A8" s="1005" t="s">
        <v>1032</v>
      </c>
      <c r="B8" s="941" t="s">
        <v>2186</v>
      </c>
      <c r="C8" s="942">
        <f>mo!D7</f>
        <v>0</v>
      </c>
      <c r="D8" s="943"/>
      <c r="E8" s="942">
        <f>mo!G7</f>
        <v>0</v>
      </c>
    </row>
    <row r="9" spans="1:5" ht="48">
      <c r="A9" s="1005" t="s">
        <v>1033</v>
      </c>
      <c r="B9" s="941" t="s">
        <v>2187</v>
      </c>
      <c r="C9" s="942">
        <f>mo!F8</f>
        <v>0</v>
      </c>
      <c r="D9" s="943" t="s">
        <v>771</v>
      </c>
      <c r="E9" s="942">
        <f>mo!G8</f>
        <v>0</v>
      </c>
    </row>
    <row r="10" spans="1:5" ht="355.5" customHeight="1">
      <c r="A10" s="1006" t="s">
        <v>1270</v>
      </c>
      <c r="B10" s="941" t="s">
        <v>2188</v>
      </c>
      <c r="C10" s="942"/>
      <c r="D10" s="943"/>
      <c r="E10" s="942"/>
    </row>
    <row r="11" spans="1:5" ht="54.75" customHeight="1">
      <c r="A11" s="1006" t="s">
        <v>242</v>
      </c>
      <c r="B11" s="941" t="s">
        <v>246</v>
      </c>
      <c r="C11" s="942">
        <f>mo!F10</f>
        <v>26500</v>
      </c>
      <c r="D11" s="943">
        <v>26500</v>
      </c>
      <c r="E11" s="942">
        <f>mo!G10</f>
        <v>4843.42</v>
      </c>
    </row>
    <row r="12" spans="1:5" ht="78" customHeight="1">
      <c r="A12" s="1006" t="s">
        <v>243</v>
      </c>
      <c r="B12" s="941" t="s">
        <v>247</v>
      </c>
      <c r="C12" s="942">
        <f>mo!F11</f>
        <v>1000</v>
      </c>
      <c r="D12" s="943">
        <v>1000</v>
      </c>
      <c r="E12" s="942">
        <f>mo!G11</f>
        <v>84.62</v>
      </c>
    </row>
    <row r="13" spans="1:5" ht="74.25" customHeight="1">
      <c r="A13" s="1006" t="s">
        <v>244</v>
      </c>
      <c r="B13" s="941" t="s">
        <v>248</v>
      </c>
      <c r="C13" s="942">
        <f>mo!F12</f>
        <v>58000</v>
      </c>
      <c r="D13" s="943">
        <v>58000</v>
      </c>
      <c r="E13" s="942">
        <f>mo!G12</f>
        <v>9867.07</v>
      </c>
    </row>
    <row r="14" spans="1:5" ht="66" customHeight="1">
      <c r="A14" s="1006" t="s">
        <v>245</v>
      </c>
      <c r="B14" s="941" t="s">
        <v>249</v>
      </c>
      <c r="C14" s="942">
        <f>mo!F13</f>
        <v>1100</v>
      </c>
      <c r="D14" s="943">
        <v>1100</v>
      </c>
      <c r="E14" s="942">
        <f>mo!G13</f>
        <v>-870.86</v>
      </c>
    </row>
    <row r="15" spans="1:5" ht="48">
      <c r="A15" s="1005" t="s">
        <v>1277</v>
      </c>
      <c r="B15" s="941" t="s">
        <v>605</v>
      </c>
      <c r="C15" s="942">
        <f>mo!F14</f>
        <v>0</v>
      </c>
      <c r="D15" s="943"/>
      <c r="E15" s="942">
        <f>mo!G14</f>
        <v>0</v>
      </c>
    </row>
    <row r="16" spans="1:5" ht="84">
      <c r="A16" s="1005" t="s">
        <v>1286</v>
      </c>
      <c r="B16" s="941" t="s">
        <v>2859</v>
      </c>
      <c r="C16" s="942">
        <f>mo!F15</f>
        <v>12000</v>
      </c>
      <c r="D16" s="943">
        <v>12000</v>
      </c>
      <c r="E16" s="942">
        <f>mo!G15</f>
        <v>1175</v>
      </c>
    </row>
    <row r="17" spans="1:5" ht="84">
      <c r="A17" s="1005" t="s">
        <v>1286</v>
      </c>
      <c r="B17" s="941" t="s">
        <v>3006</v>
      </c>
      <c r="C17" s="942">
        <f>mo!F16</f>
        <v>18000</v>
      </c>
      <c r="D17" s="943">
        <v>18000</v>
      </c>
      <c r="E17" s="942">
        <f>mo!G16</f>
        <v>0</v>
      </c>
    </row>
    <row r="18" spans="1:5" ht="84">
      <c r="A18" s="1005" t="s">
        <v>1286</v>
      </c>
      <c r="B18" s="941" t="s">
        <v>3007</v>
      </c>
      <c r="C18" s="942"/>
      <c r="D18" s="943">
        <v>0</v>
      </c>
      <c r="E18" s="942"/>
    </row>
    <row r="19" spans="1:5" ht="48">
      <c r="A19" s="1005" t="s">
        <v>2161</v>
      </c>
      <c r="B19" s="941" t="s">
        <v>2207</v>
      </c>
      <c r="C19" s="942">
        <f>mo!F17</f>
        <v>0</v>
      </c>
      <c r="D19" s="943"/>
      <c r="E19" s="942">
        <f>mo!G17</f>
        <v>0</v>
      </c>
    </row>
    <row r="20" spans="1:5" ht="108">
      <c r="A20" s="1005" t="s">
        <v>2124</v>
      </c>
      <c r="B20" s="941" t="s">
        <v>2837</v>
      </c>
      <c r="C20" s="942">
        <f>mo!F18</f>
        <v>1000</v>
      </c>
      <c r="D20" s="943">
        <v>1000</v>
      </c>
      <c r="E20" s="942">
        <f>mo!G18</f>
        <v>150</v>
      </c>
    </row>
    <row r="21" spans="1:5" ht="72">
      <c r="A21" s="1005" t="s">
        <v>1632</v>
      </c>
      <c r="B21" s="941" t="s">
        <v>607</v>
      </c>
      <c r="C21" s="942">
        <f>mo!F19</f>
        <v>150000</v>
      </c>
      <c r="D21" s="943">
        <v>150000</v>
      </c>
      <c r="E21" s="942">
        <f>mo!G19</f>
        <v>7512</v>
      </c>
    </row>
    <row r="22" spans="1:5" ht="72">
      <c r="A22" s="1005" t="s">
        <v>2182</v>
      </c>
      <c r="B22" s="941" t="s">
        <v>2268</v>
      </c>
      <c r="C22" s="942">
        <v>0</v>
      </c>
      <c r="D22" s="943"/>
      <c r="E22" s="942">
        <v>0</v>
      </c>
    </row>
    <row r="23" spans="1:5" ht="48">
      <c r="A23" s="1007" t="s">
        <v>8</v>
      </c>
      <c r="B23" s="944" t="s">
        <v>1945</v>
      </c>
      <c r="C23" s="942">
        <f>mo!F22</f>
        <v>0</v>
      </c>
      <c r="D23" s="943"/>
      <c r="E23" s="942">
        <f>mo!G22</f>
        <v>0</v>
      </c>
    </row>
    <row r="24" spans="1:5" ht="24">
      <c r="A24" s="1005" t="s">
        <v>9</v>
      </c>
      <c r="B24" s="941" t="s">
        <v>1947</v>
      </c>
      <c r="C24" s="942">
        <f>mo!F23</f>
        <v>0</v>
      </c>
      <c r="D24" s="943"/>
      <c r="E24" s="942">
        <f>mo!G23</f>
        <v>0</v>
      </c>
    </row>
    <row r="25" spans="1:5" ht="12">
      <c r="A25" s="1005" t="s">
        <v>2861</v>
      </c>
      <c r="B25" s="941" t="s">
        <v>2860</v>
      </c>
      <c r="C25" s="942">
        <f>mo!F24</f>
        <v>10000</v>
      </c>
      <c r="D25" s="943">
        <v>10000</v>
      </c>
      <c r="E25" s="942">
        <f>mo!G24</f>
        <v>8200</v>
      </c>
    </row>
    <row r="26" spans="1:5" ht="24.75" thickBot="1">
      <c r="A26" s="1008" t="s">
        <v>12</v>
      </c>
      <c r="B26" s="946" t="s">
        <v>1354</v>
      </c>
      <c r="C26" s="947">
        <f>mo!F25</f>
        <v>0</v>
      </c>
      <c r="D26" s="948"/>
      <c r="E26" s="947">
        <f>mo!G42</f>
        <v>0</v>
      </c>
    </row>
    <row r="27" spans="1:5" ht="12.75" thickBot="1">
      <c r="A27" s="1009" t="s">
        <v>48</v>
      </c>
      <c r="B27" s="1004" t="s">
        <v>1047</v>
      </c>
      <c r="C27" s="934">
        <f>SUM(C28:C40)</f>
        <v>10135900</v>
      </c>
      <c r="D27" s="935">
        <f>SUM(D28:D40)</f>
        <v>9801600</v>
      </c>
      <c r="E27" s="936">
        <f>SUM(E28:E40)</f>
        <v>2104431.4</v>
      </c>
    </row>
    <row r="28" spans="1:5" ht="36">
      <c r="A28" s="1058" t="s">
        <v>2392</v>
      </c>
      <c r="B28" s="933" t="s">
        <v>2864</v>
      </c>
      <c r="C28" s="939">
        <f>mo!F29</f>
        <v>1673200</v>
      </c>
      <c r="D28" s="940">
        <v>1429300</v>
      </c>
      <c r="E28" s="939">
        <f>mo!G29</f>
        <v>20000</v>
      </c>
    </row>
    <row r="29" spans="1:5" ht="36">
      <c r="A29" s="1011" t="s">
        <v>1244</v>
      </c>
      <c r="B29" s="944" t="s">
        <v>2864</v>
      </c>
      <c r="C29" s="942">
        <f>mo!F28</f>
        <v>8280100</v>
      </c>
      <c r="D29" s="943">
        <v>8280100</v>
      </c>
      <c r="E29" s="942">
        <f>mo!G28</f>
        <v>2070000</v>
      </c>
    </row>
    <row r="30" spans="1:5" ht="36">
      <c r="A30" s="1011" t="s">
        <v>1245</v>
      </c>
      <c r="B30" s="944" t="s">
        <v>2862</v>
      </c>
      <c r="C30" s="942">
        <f>mo!F34</f>
        <v>0</v>
      </c>
      <c r="D30" s="943"/>
      <c r="E30" s="942">
        <f>mo!G34</f>
        <v>0</v>
      </c>
    </row>
    <row r="31" spans="1:5" ht="24">
      <c r="A31" s="1014" t="s">
        <v>358</v>
      </c>
      <c r="B31" s="952" t="s">
        <v>2862</v>
      </c>
      <c r="C31" s="1059">
        <f>mo!F39</f>
        <v>700</v>
      </c>
      <c r="D31" s="957">
        <v>700</v>
      </c>
      <c r="E31" s="942">
        <f>mo!G39</f>
        <v>0</v>
      </c>
    </row>
    <row r="32" spans="1:5" ht="12">
      <c r="A32" s="1011" t="s">
        <v>1246</v>
      </c>
      <c r="B32" s="1013" t="s">
        <v>686</v>
      </c>
      <c r="C32" s="1059">
        <f>mo!F41</f>
        <v>0</v>
      </c>
      <c r="D32" s="957"/>
      <c r="E32" s="942">
        <f>mo!G41</f>
        <v>0</v>
      </c>
    </row>
    <row r="33" spans="1:5" ht="72">
      <c r="A33" s="1011" t="s">
        <v>1151</v>
      </c>
      <c r="B33" s="1013" t="s">
        <v>686</v>
      </c>
      <c r="C33" s="1059"/>
      <c r="D33" s="957"/>
      <c r="E33" s="942"/>
    </row>
    <row r="34" spans="1:5" ht="48">
      <c r="A34" s="1014" t="s">
        <v>1247</v>
      </c>
      <c r="B34" s="952" t="s">
        <v>2080</v>
      </c>
      <c r="C34" s="1059">
        <f>mo!F33</f>
        <v>0</v>
      </c>
      <c r="D34" s="957"/>
      <c r="E34" s="942">
        <f>mo!G33</f>
        <v>0</v>
      </c>
    </row>
    <row r="35" spans="1:5" ht="36">
      <c r="A35" s="1014" t="s">
        <v>1927</v>
      </c>
      <c r="B35" s="952" t="s">
        <v>2862</v>
      </c>
      <c r="C35" s="1060">
        <f>mo!F35</f>
        <v>90400</v>
      </c>
      <c r="D35" s="1048"/>
      <c r="E35" s="942">
        <f>mo!G35</f>
        <v>0</v>
      </c>
    </row>
    <row r="36" spans="1:5" ht="36">
      <c r="A36" s="1010" t="s">
        <v>1245</v>
      </c>
      <c r="B36" s="952" t="s">
        <v>2080</v>
      </c>
      <c r="C36" s="1060">
        <f>mo!F36</f>
        <v>0</v>
      </c>
      <c r="D36" s="1048"/>
      <c r="E36" s="942">
        <f>mo!G36</f>
        <v>0</v>
      </c>
    </row>
    <row r="37" spans="1:5" ht="48">
      <c r="A37" s="1010" t="s">
        <v>1076</v>
      </c>
      <c r="B37" s="952" t="s">
        <v>2080</v>
      </c>
      <c r="C37" s="1060">
        <f>mo!F37</f>
        <v>0</v>
      </c>
      <c r="D37" s="1048" t="s">
        <v>771</v>
      </c>
      <c r="E37" s="942">
        <f>mo!G37</f>
        <v>0</v>
      </c>
    </row>
    <row r="38" spans="1:5" ht="60">
      <c r="A38" s="1010" t="s">
        <v>1150</v>
      </c>
      <c r="B38" s="952" t="s">
        <v>2080</v>
      </c>
      <c r="C38" s="1060"/>
      <c r="D38" s="1048" t="s">
        <v>771</v>
      </c>
      <c r="E38" s="942"/>
    </row>
    <row r="39" spans="1:5" ht="36">
      <c r="A39" s="1014" t="s">
        <v>1927</v>
      </c>
      <c r="B39" s="944" t="s">
        <v>2867</v>
      </c>
      <c r="C39" s="1060">
        <f>mo!F30</f>
        <v>0</v>
      </c>
      <c r="D39" s="1048">
        <v>0</v>
      </c>
      <c r="E39" s="942">
        <f>mo!G30</f>
        <v>0</v>
      </c>
    </row>
    <row r="40" spans="1:5" ht="48">
      <c r="A40" s="1016" t="s">
        <v>1584</v>
      </c>
      <c r="B40" s="959" t="s">
        <v>2866</v>
      </c>
      <c r="C40" s="947">
        <f>mo!F38</f>
        <v>91500</v>
      </c>
      <c r="D40" s="948">
        <v>91500</v>
      </c>
      <c r="E40" s="947">
        <f>mo!G38</f>
        <v>14431.4</v>
      </c>
    </row>
    <row r="41" spans="1:5" ht="24">
      <c r="A41" s="1432" t="s">
        <v>12</v>
      </c>
      <c r="B41" s="1013" t="s">
        <v>2080</v>
      </c>
      <c r="C41" s="942">
        <f>mo!F42</f>
        <v>0</v>
      </c>
      <c r="D41" s="943">
        <f>mo!F42</f>
        <v>0</v>
      </c>
      <c r="E41" s="942"/>
    </row>
    <row r="42" spans="1:5" ht="12.75" thickBot="1">
      <c r="A42" s="1427" t="s">
        <v>1080</v>
      </c>
      <c r="B42" s="1428"/>
      <c r="C42" s="1429">
        <f>C6+C27+C41</f>
        <v>10719500</v>
      </c>
      <c r="D42" s="1430">
        <f>D6+D27+D41</f>
        <v>10385200</v>
      </c>
      <c r="E42" s="1431">
        <f>E6+E27+E26</f>
        <v>2191961.96</v>
      </c>
    </row>
    <row r="43" spans="1:5" ht="12">
      <c r="A43" s="1000" t="s">
        <v>1081</v>
      </c>
      <c r="B43" s="1000"/>
      <c r="C43" s="964"/>
      <c r="D43" s="1019" t="s">
        <v>771</v>
      </c>
      <c r="E43" s="964"/>
    </row>
    <row r="44" spans="1:5" ht="24.75" thickBot="1">
      <c r="A44" s="1020" t="s">
        <v>74</v>
      </c>
      <c r="B44" s="1020" t="s">
        <v>216</v>
      </c>
      <c r="C44" s="1021" t="s">
        <v>1042</v>
      </c>
      <c r="D44" s="1022" t="s">
        <v>1248</v>
      </c>
      <c r="E44" s="1021" t="s">
        <v>688</v>
      </c>
    </row>
    <row r="45" spans="1:5" ht="12.75" thickBot="1">
      <c r="A45" s="1023" t="s">
        <v>75</v>
      </c>
      <c r="B45" s="990" t="s">
        <v>1083</v>
      </c>
      <c r="C45" s="934">
        <f>SUM(C46:C58)</f>
        <v>5913800.3499999996</v>
      </c>
      <c r="D45" s="935">
        <f>D59+D63+D69+D84+D86+D82</f>
        <v>5913800.3499999996</v>
      </c>
      <c r="E45" s="936">
        <f>SUM(E46:E58)</f>
        <v>871447.11</v>
      </c>
    </row>
    <row r="46" spans="1:5" ht="12">
      <c r="A46" s="1025" t="s">
        <v>77</v>
      </c>
      <c r="B46" s="997" t="s">
        <v>1084</v>
      </c>
      <c r="C46" s="1061">
        <f>C60+C70</f>
        <v>3005038.35</v>
      </c>
      <c r="D46" s="940"/>
      <c r="E46" s="1061">
        <f>E60+E70</f>
        <v>542299.32999999996</v>
      </c>
    </row>
    <row r="47" spans="1:5" ht="12">
      <c r="A47" s="1026" t="s">
        <v>81</v>
      </c>
      <c r="B47" s="993" t="s">
        <v>1086</v>
      </c>
      <c r="C47" s="1062">
        <f>C61+C71+C64</f>
        <v>295900</v>
      </c>
      <c r="D47" s="943"/>
      <c r="E47" s="1062">
        <f>E62+E71</f>
        <v>136206.97</v>
      </c>
    </row>
    <row r="48" spans="1:5" ht="12">
      <c r="A48" s="1026" t="s">
        <v>79</v>
      </c>
      <c r="B48" s="993" t="s">
        <v>1085</v>
      </c>
      <c r="C48" s="1062">
        <f>C62+C72</f>
        <v>997562</v>
      </c>
      <c r="D48" s="943"/>
      <c r="E48" s="1062">
        <f>E61+E64+E72</f>
        <v>7393.71</v>
      </c>
    </row>
    <row r="49" spans="1:5" ht="12">
      <c r="A49" s="1026" t="s">
        <v>83</v>
      </c>
      <c r="B49" s="993" t="s">
        <v>1087</v>
      </c>
      <c r="C49" s="1062">
        <f>C73</f>
        <v>90000</v>
      </c>
      <c r="D49" s="943"/>
      <c r="E49" s="1062">
        <f>E73</f>
        <v>8645.5</v>
      </c>
    </row>
    <row r="50" spans="1:5" ht="12">
      <c r="A50" s="1026" t="s">
        <v>85</v>
      </c>
      <c r="B50" s="993" t="s">
        <v>1088</v>
      </c>
      <c r="C50" s="1062">
        <f>C74+C65</f>
        <v>192400</v>
      </c>
      <c r="D50" s="943"/>
      <c r="E50" s="1062">
        <f>E65+E74</f>
        <v>73427.289999999994</v>
      </c>
    </row>
    <row r="51" spans="1:5" ht="12">
      <c r="A51" s="1026" t="s">
        <v>87</v>
      </c>
      <c r="B51" s="993" t="s">
        <v>1089</v>
      </c>
      <c r="C51" s="1062">
        <f>C75</f>
        <v>400000</v>
      </c>
      <c r="D51" s="943"/>
      <c r="E51" s="1062">
        <f>E75</f>
        <v>47786.39</v>
      </c>
    </row>
    <row r="52" spans="1:5" ht="12">
      <c r="A52" s="1026" t="s">
        <v>89</v>
      </c>
      <c r="B52" s="993" t="s">
        <v>1090</v>
      </c>
      <c r="C52" s="1062">
        <f>C76</f>
        <v>120000</v>
      </c>
      <c r="D52" s="943"/>
      <c r="E52" s="1062">
        <f>E76</f>
        <v>0</v>
      </c>
    </row>
    <row r="53" spans="1:5" ht="12">
      <c r="A53" s="1026" t="s">
        <v>91</v>
      </c>
      <c r="B53" s="993" t="s">
        <v>1091</v>
      </c>
      <c r="C53" s="1062">
        <f>C77+C66</f>
        <v>157000</v>
      </c>
      <c r="D53" s="943"/>
      <c r="E53" s="1062">
        <f>E77+E66</f>
        <v>28560</v>
      </c>
    </row>
    <row r="54" spans="1:5" ht="12">
      <c r="A54" s="1026" t="s">
        <v>1092</v>
      </c>
      <c r="B54" s="993" t="s">
        <v>1093</v>
      </c>
      <c r="C54" s="1062">
        <f>C157</f>
        <v>0</v>
      </c>
      <c r="D54" s="943"/>
      <c r="E54" s="1062">
        <f>E157</f>
        <v>0</v>
      </c>
    </row>
    <row r="55" spans="1:5" ht="12">
      <c r="A55" s="1026" t="s">
        <v>1094</v>
      </c>
      <c r="B55" s="993" t="s">
        <v>1095</v>
      </c>
      <c r="C55" s="1062">
        <f>C78</f>
        <v>0</v>
      </c>
      <c r="D55" s="943"/>
      <c r="E55" s="1062">
        <f>E78</f>
        <v>0</v>
      </c>
    </row>
    <row r="56" spans="1:5" ht="12">
      <c r="A56" s="1026" t="s">
        <v>95</v>
      </c>
      <c r="B56" s="993" t="s">
        <v>1096</v>
      </c>
      <c r="C56" s="1062">
        <f>C79+C85+C83+C67</f>
        <v>35200</v>
      </c>
      <c r="D56" s="943"/>
      <c r="E56" s="1062">
        <f>E79+E85+E67+E83</f>
        <v>4877.92</v>
      </c>
    </row>
    <row r="57" spans="1:5" ht="12">
      <c r="A57" s="1026" t="s">
        <v>97</v>
      </c>
      <c r="B57" s="993" t="s">
        <v>1097</v>
      </c>
      <c r="C57" s="1062">
        <f>C80</f>
        <v>165000</v>
      </c>
      <c r="D57" s="943"/>
      <c r="E57" s="1062">
        <f>E80</f>
        <v>0</v>
      </c>
    </row>
    <row r="58" spans="1:5" ht="12.75" thickBot="1">
      <c r="A58" s="1020" t="s">
        <v>100</v>
      </c>
      <c r="B58" s="994" t="s">
        <v>1098</v>
      </c>
      <c r="C58" s="1063">
        <f>C81+C68+C86</f>
        <v>455700</v>
      </c>
      <c r="D58" s="948"/>
      <c r="E58" s="1063">
        <f>E81+E68</f>
        <v>22250</v>
      </c>
    </row>
    <row r="59" spans="1:5" ht="36.75" thickBot="1">
      <c r="A59" s="1027" t="s">
        <v>1099</v>
      </c>
      <c r="B59" s="989" t="s">
        <v>1100</v>
      </c>
      <c r="C59" s="971">
        <f>SUM(C60:C62)</f>
        <v>772400.35</v>
      </c>
      <c r="D59" s="972">
        <v>772400.35</v>
      </c>
      <c r="E59" s="973">
        <f>SUM(E60:E62)</f>
        <v>164412.85999999999</v>
      </c>
    </row>
    <row r="60" spans="1:5" ht="12">
      <c r="A60" s="1025" t="s">
        <v>77</v>
      </c>
      <c r="B60" s="997" t="s">
        <v>1101</v>
      </c>
      <c r="C60" s="939">
        <f>mo!F71</f>
        <v>554838.35</v>
      </c>
      <c r="D60" s="940"/>
      <c r="E60" s="939">
        <f>mo!G71</f>
        <v>130202.64</v>
      </c>
    </row>
    <row r="61" spans="1:5" ht="12">
      <c r="A61" s="1026" t="s">
        <v>79</v>
      </c>
      <c r="B61" s="993" t="s">
        <v>1102</v>
      </c>
      <c r="C61" s="942">
        <f>mo!F72</f>
        <v>50000</v>
      </c>
      <c r="D61" s="943"/>
      <c r="E61" s="942">
        <f>mo!G72</f>
        <v>0</v>
      </c>
    </row>
    <row r="62" spans="1:5" ht="12.75" thickBot="1">
      <c r="A62" s="1020" t="s">
        <v>81</v>
      </c>
      <c r="B62" s="994" t="s">
        <v>1103</v>
      </c>
      <c r="C62" s="947">
        <f>mo!F73</f>
        <v>167562</v>
      </c>
      <c r="D62" s="948"/>
      <c r="E62" s="947">
        <f>mo!G73</f>
        <v>34210.22</v>
      </c>
    </row>
    <row r="63" spans="1:5" ht="24">
      <c r="A63" s="1123" t="s">
        <v>1105</v>
      </c>
      <c r="B63" s="1124" t="s">
        <v>1106</v>
      </c>
      <c r="C63" s="1459">
        <f>C64+C65+C66+C67+C68</f>
        <v>39400</v>
      </c>
      <c r="D63" s="1460">
        <v>39400</v>
      </c>
      <c r="E63" s="1461">
        <f>E66+E67+E68</f>
        <v>6700</v>
      </c>
    </row>
    <row r="64" spans="1:5" ht="12">
      <c r="A64" s="1736" t="s">
        <v>79</v>
      </c>
      <c r="B64" s="1128" t="s">
        <v>2785</v>
      </c>
      <c r="C64" s="1039">
        <f>mo!F80</f>
        <v>5000</v>
      </c>
      <c r="D64" s="1040"/>
      <c r="E64" s="1039">
        <f>mo!G80</f>
        <v>0</v>
      </c>
    </row>
    <row r="65" spans="1:5" ht="12">
      <c r="A65" s="1051" t="s">
        <v>85</v>
      </c>
      <c r="B65" s="1128" t="s">
        <v>1289</v>
      </c>
      <c r="C65" s="1039">
        <f>mo!F81</f>
        <v>22400</v>
      </c>
      <c r="D65" s="1040"/>
      <c r="E65" s="1039">
        <f>mo!G81</f>
        <v>0</v>
      </c>
    </row>
    <row r="66" spans="1:5" ht="12">
      <c r="A66" s="1025" t="s">
        <v>91</v>
      </c>
      <c r="B66" s="997" t="s">
        <v>1107</v>
      </c>
      <c r="C66" s="1734">
        <f>mo!F79+mo!F82</f>
        <v>7000</v>
      </c>
      <c r="D66" s="1735"/>
      <c r="E66" s="1734">
        <f>mo!G79</f>
        <v>6700</v>
      </c>
    </row>
    <row r="67" spans="1:5" ht="12">
      <c r="A67" s="1025" t="s">
        <v>95</v>
      </c>
      <c r="B67" s="997" t="s">
        <v>1108</v>
      </c>
      <c r="C67" s="939">
        <f>mo!F83</f>
        <v>0</v>
      </c>
      <c r="D67" s="940"/>
      <c r="E67" s="939">
        <f>mo!G83</f>
        <v>0</v>
      </c>
    </row>
    <row r="68" spans="1:5" ht="12.75" thickBot="1">
      <c r="A68" s="1020" t="s">
        <v>100</v>
      </c>
      <c r="B68" s="994" t="s">
        <v>1235</v>
      </c>
      <c r="C68" s="947">
        <f>mo!F85</f>
        <v>5000</v>
      </c>
      <c r="D68" s="948"/>
      <c r="E68" s="947">
        <f>mo!G85</f>
        <v>0</v>
      </c>
    </row>
    <row r="69" spans="1:5" ht="36.75" thickBot="1">
      <c r="A69" s="1027" t="s">
        <v>1109</v>
      </c>
      <c r="B69" s="989" t="s">
        <v>1110</v>
      </c>
      <c r="C69" s="971">
        <f>SUM(C70:C81)</f>
        <v>5096300</v>
      </c>
      <c r="D69" s="972">
        <v>5096300</v>
      </c>
      <c r="E69" s="973">
        <f>SUM(E70:E81)</f>
        <v>700334.25000000012</v>
      </c>
    </row>
    <row r="70" spans="1:5" ht="12">
      <c r="A70" s="1025" t="s">
        <v>77</v>
      </c>
      <c r="B70" s="997" t="s">
        <v>1111</v>
      </c>
      <c r="C70" s="939">
        <f>mo!F87</f>
        <v>2450200</v>
      </c>
      <c r="D70" s="965"/>
      <c r="E70" s="939">
        <f>mo!G87</f>
        <v>412096.69</v>
      </c>
    </row>
    <row r="71" spans="1:5" ht="12">
      <c r="A71" s="1026" t="s">
        <v>81</v>
      </c>
      <c r="B71" s="993" t="s">
        <v>1113</v>
      </c>
      <c r="C71" s="942">
        <f>mo!F89</f>
        <v>240900</v>
      </c>
      <c r="D71" s="950"/>
      <c r="E71" s="942">
        <f>mo!G88</f>
        <v>101996.75</v>
      </c>
    </row>
    <row r="72" spans="1:5" ht="12">
      <c r="A72" s="1026" t="s">
        <v>79</v>
      </c>
      <c r="B72" s="993" t="s">
        <v>1112</v>
      </c>
      <c r="C72" s="942">
        <f>mo!F88</f>
        <v>830000</v>
      </c>
      <c r="D72" s="950"/>
      <c r="E72" s="942">
        <f>mo!G89</f>
        <v>7393.71</v>
      </c>
    </row>
    <row r="73" spans="1:5" ht="12">
      <c r="A73" s="1026" t="s">
        <v>83</v>
      </c>
      <c r="B73" s="993" t="s">
        <v>1114</v>
      </c>
      <c r="C73" s="942">
        <f>mo!F95+mo!F100</f>
        <v>90000</v>
      </c>
      <c r="D73" s="950"/>
      <c r="E73" s="942">
        <f>mo!G95+mo!G100</f>
        <v>8645.5</v>
      </c>
    </row>
    <row r="74" spans="1:5" ht="12">
      <c r="A74" s="1026" t="s">
        <v>85</v>
      </c>
      <c r="B74" s="993" t="s">
        <v>1115</v>
      </c>
      <c r="C74" s="942">
        <f>mo!F101</f>
        <v>170000</v>
      </c>
      <c r="D74" s="950"/>
      <c r="E74" s="942">
        <f>mo!G101</f>
        <v>73427.289999999994</v>
      </c>
    </row>
    <row r="75" spans="1:5" ht="12">
      <c r="A75" s="1026" t="s">
        <v>87</v>
      </c>
      <c r="B75" s="993" t="s">
        <v>1116</v>
      </c>
      <c r="C75" s="942">
        <f>mo!F102</f>
        <v>400000</v>
      </c>
      <c r="D75" s="950"/>
      <c r="E75" s="942">
        <f>mo!G102</f>
        <v>47786.39</v>
      </c>
    </row>
    <row r="76" spans="1:5" ht="12">
      <c r="A76" s="1026" t="s">
        <v>89</v>
      </c>
      <c r="B76" s="993" t="s">
        <v>1117</v>
      </c>
      <c r="C76" s="942">
        <f>mo!F96+mo!F103</f>
        <v>120000</v>
      </c>
      <c r="D76" s="950"/>
      <c r="E76" s="942">
        <f>mo!G96+mo!G103</f>
        <v>0</v>
      </c>
    </row>
    <row r="77" spans="1:5" ht="12">
      <c r="A77" s="1026" t="s">
        <v>91</v>
      </c>
      <c r="B77" s="993" t="s">
        <v>1118</v>
      </c>
      <c r="C77" s="942">
        <f>mo!F97+mo!F104</f>
        <v>150000</v>
      </c>
      <c r="D77" s="950"/>
      <c r="E77" s="942">
        <f>mo!G97+mo!G104</f>
        <v>21860</v>
      </c>
    </row>
    <row r="78" spans="1:5" ht="12">
      <c r="A78" s="1026" t="s">
        <v>1094</v>
      </c>
      <c r="B78" s="993" t="s">
        <v>1119</v>
      </c>
      <c r="C78" s="942"/>
      <c r="D78" s="950"/>
      <c r="E78" s="942"/>
    </row>
    <row r="79" spans="1:5" ht="12">
      <c r="A79" s="1026" t="s">
        <v>95</v>
      </c>
      <c r="B79" s="993" t="s">
        <v>1120</v>
      </c>
      <c r="C79" s="942">
        <f>mo!F105+mo!F108+mo!F109</f>
        <v>30200</v>
      </c>
      <c r="D79" s="950"/>
      <c r="E79" s="942">
        <f>mo!G109</f>
        <v>4877.92</v>
      </c>
    </row>
    <row r="80" spans="1:5" ht="12">
      <c r="A80" s="1026" t="s">
        <v>97</v>
      </c>
      <c r="B80" s="993" t="s">
        <v>1121</v>
      </c>
      <c r="C80" s="942">
        <f>mo!F98+mo!F106</f>
        <v>165000</v>
      </c>
      <c r="D80" s="950"/>
      <c r="E80" s="942">
        <f>mo!G98+mo!G106</f>
        <v>0</v>
      </c>
    </row>
    <row r="81" spans="1:5" ht="12.75" thickBot="1">
      <c r="A81" s="1020" t="s">
        <v>100</v>
      </c>
      <c r="B81" s="994" t="s">
        <v>1122</v>
      </c>
      <c r="C81" s="947">
        <f>mo!F107+mo!F99</f>
        <v>450000</v>
      </c>
      <c r="D81" s="966"/>
      <c r="E81" s="1064">
        <f>mo!G99+mo!G107</f>
        <v>22250</v>
      </c>
    </row>
    <row r="82" spans="1:5" ht="12.75" thickBot="1">
      <c r="A82" s="1027" t="s">
        <v>1123</v>
      </c>
      <c r="B82" s="989" t="s">
        <v>1124</v>
      </c>
      <c r="C82" s="971">
        <f>C83</f>
        <v>0</v>
      </c>
      <c r="D82" s="972"/>
      <c r="E82" s="973">
        <f>E83</f>
        <v>0</v>
      </c>
    </row>
    <row r="83" spans="1:5" ht="12.75" thickBot="1">
      <c r="A83" s="1028" t="s">
        <v>95</v>
      </c>
      <c r="B83" s="995" t="s">
        <v>1125</v>
      </c>
      <c r="C83" s="967">
        <f>mo!F112</f>
        <v>0</v>
      </c>
      <c r="D83" s="968"/>
      <c r="E83" s="967">
        <f>mo!G112</f>
        <v>0</v>
      </c>
    </row>
    <row r="84" spans="1:5" ht="12.75" thickBot="1">
      <c r="A84" s="1027" t="s">
        <v>128</v>
      </c>
      <c r="B84" s="989" t="s">
        <v>1126</v>
      </c>
      <c r="C84" s="978">
        <f>C85</f>
        <v>5000</v>
      </c>
      <c r="D84" s="979">
        <v>5000</v>
      </c>
      <c r="E84" s="980">
        <f>E85</f>
        <v>0</v>
      </c>
    </row>
    <row r="85" spans="1:5" ht="12">
      <c r="A85" s="1028" t="s">
        <v>95</v>
      </c>
      <c r="B85" s="995" t="s">
        <v>1127</v>
      </c>
      <c r="C85" s="967">
        <f>mo!F114</f>
        <v>5000</v>
      </c>
      <c r="D85" s="968"/>
      <c r="E85" s="967">
        <f>mo!G114</f>
        <v>0</v>
      </c>
    </row>
    <row r="86" spans="1:5" ht="12">
      <c r="A86" s="1037" t="s">
        <v>366</v>
      </c>
      <c r="B86" s="1128" t="s">
        <v>364</v>
      </c>
      <c r="C86" s="942">
        <f>mo!F115</f>
        <v>700</v>
      </c>
      <c r="D86" s="950">
        <v>700</v>
      </c>
      <c r="E86" s="942">
        <f>mo!G115</f>
        <v>0</v>
      </c>
    </row>
    <row r="87" spans="1:5" ht="12.75" thickBot="1">
      <c r="A87" s="1135" t="s">
        <v>1128</v>
      </c>
      <c r="B87" s="1136" t="s">
        <v>1129</v>
      </c>
      <c r="C87" s="1142">
        <f>SUM(C88:C95)</f>
        <v>91500</v>
      </c>
      <c r="D87" s="1143">
        <v>91500</v>
      </c>
      <c r="E87" s="1144">
        <f>SUM(E88:E95)</f>
        <v>14431.400000000001</v>
      </c>
    </row>
    <row r="88" spans="1:5" ht="24">
      <c r="A88" s="1025" t="s">
        <v>1130</v>
      </c>
      <c r="B88" s="997" t="s">
        <v>1131</v>
      </c>
      <c r="C88" s="939">
        <f>mo!F118</f>
        <v>66505</v>
      </c>
      <c r="D88" s="965"/>
      <c r="E88" s="939">
        <f>mo!G118</f>
        <v>11084.04</v>
      </c>
    </row>
    <row r="89" spans="1:5" ht="12">
      <c r="A89" s="1026" t="s">
        <v>79</v>
      </c>
      <c r="B89" s="993" t="s">
        <v>1132</v>
      </c>
      <c r="C89" s="942"/>
      <c r="D89" s="950"/>
      <c r="E89" s="942">
        <f>mo!G119</f>
        <v>3347.36</v>
      </c>
    </row>
    <row r="90" spans="1:5" ht="12">
      <c r="A90" s="1026" t="s">
        <v>1133</v>
      </c>
      <c r="B90" s="993" t="s">
        <v>1134</v>
      </c>
      <c r="C90" s="942">
        <f>mo!F119</f>
        <v>20085</v>
      </c>
      <c r="D90" s="950"/>
      <c r="E90" s="942">
        <f>mo!G123</f>
        <v>0</v>
      </c>
    </row>
    <row r="91" spans="1:5" ht="12">
      <c r="A91" s="1026" t="s">
        <v>83</v>
      </c>
      <c r="B91" s="993" t="s">
        <v>1135</v>
      </c>
      <c r="C91" s="942">
        <f>mo!F123</f>
        <v>0</v>
      </c>
      <c r="D91" s="966"/>
      <c r="E91" s="947">
        <f>mo!G124</f>
        <v>0</v>
      </c>
    </row>
    <row r="92" spans="1:5" ht="12">
      <c r="A92" s="1026" t="s">
        <v>85</v>
      </c>
      <c r="B92" s="993" t="s">
        <v>297</v>
      </c>
      <c r="C92" s="942">
        <f>mo!F127</f>
        <v>0</v>
      </c>
      <c r="D92" s="966"/>
      <c r="E92" s="947"/>
    </row>
    <row r="93" spans="1:5" ht="12">
      <c r="A93" s="1026" t="s">
        <v>91</v>
      </c>
      <c r="B93" s="993" t="s">
        <v>289</v>
      </c>
      <c r="C93" s="942"/>
      <c r="D93" s="966"/>
      <c r="E93" s="947"/>
    </row>
    <row r="94" spans="1:5" ht="12">
      <c r="A94" s="1026" t="s">
        <v>95</v>
      </c>
      <c r="B94" s="993" t="s">
        <v>356</v>
      </c>
      <c r="C94" s="947"/>
      <c r="D94" s="966"/>
      <c r="E94" s="947"/>
    </row>
    <row r="95" spans="1:5" ht="12.75" thickBot="1">
      <c r="A95" s="1020" t="s">
        <v>100</v>
      </c>
      <c r="B95" s="994" t="s">
        <v>1137</v>
      </c>
      <c r="C95" s="947">
        <f>mo!F128</f>
        <v>4910</v>
      </c>
      <c r="D95" s="966"/>
      <c r="E95" s="947">
        <f>mo!G128</f>
        <v>0</v>
      </c>
    </row>
    <row r="96" spans="1:5" ht="12.75" thickBot="1">
      <c r="A96" s="1027" t="s">
        <v>1249</v>
      </c>
      <c r="B96" s="989" t="s">
        <v>1236</v>
      </c>
      <c r="C96" s="987">
        <f>mo!F129+mo!F140</f>
        <v>357000</v>
      </c>
      <c r="D96" s="979">
        <v>357000</v>
      </c>
      <c r="E96" s="1127">
        <f>E114+E113+E105+E112+E103+E104+E99</f>
        <v>16900</v>
      </c>
    </row>
    <row r="97" spans="1:5" ht="12">
      <c r="A97" s="1026" t="s">
        <v>91</v>
      </c>
      <c r="B97" s="997" t="s">
        <v>1321</v>
      </c>
      <c r="C97" s="947">
        <f>C98+C99+C100+C101+C102+C103+C104</f>
        <v>212000</v>
      </c>
      <c r="D97" s="1105"/>
      <c r="E97" s="1129"/>
    </row>
    <row r="98" spans="1:5" ht="12">
      <c r="A98" s="1020" t="s">
        <v>89</v>
      </c>
      <c r="B98" s="997" t="s">
        <v>2786</v>
      </c>
      <c r="C98" s="947">
        <f>mo!F133</f>
        <v>0</v>
      </c>
      <c r="D98" s="1105"/>
      <c r="E98" s="1129"/>
    </row>
    <row r="99" spans="1:5" ht="12">
      <c r="A99" s="1020" t="s">
        <v>91</v>
      </c>
      <c r="B99" s="997" t="s">
        <v>2787</v>
      </c>
      <c r="C99" s="947">
        <f>mo!F134</f>
        <v>50000</v>
      </c>
      <c r="D99" s="1105"/>
      <c r="E99" s="1129">
        <v>16900</v>
      </c>
    </row>
    <row r="100" spans="1:5" ht="12">
      <c r="A100" s="1020" t="s">
        <v>100</v>
      </c>
      <c r="B100" s="997" t="s">
        <v>2788</v>
      </c>
      <c r="C100" s="947">
        <f>mo!F135</f>
        <v>0</v>
      </c>
      <c r="D100" s="1105"/>
      <c r="E100" s="1129"/>
    </row>
    <row r="101" spans="1:5" ht="12">
      <c r="A101" s="1020" t="s">
        <v>89</v>
      </c>
      <c r="B101" s="997" t="s">
        <v>2789</v>
      </c>
      <c r="C101" s="947">
        <f>mo!F136</f>
        <v>11000</v>
      </c>
      <c r="D101" s="1105"/>
      <c r="E101" s="1129"/>
    </row>
    <row r="102" spans="1:5" ht="12">
      <c r="A102" s="1020" t="s">
        <v>91</v>
      </c>
      <c r="B102" s="997" t="s">
        <v>2789</v>
      </c>
      <c r="C102" s="947">
        <f>mo!F137</f>
        <v>11000</v>
      </c>
      <c r="D102" s="1105"/>
      <c r="E102" s="1129"/>
    </row>
    <row r="103" spans="1:5" ht="12">
      <c r="A103" s="1020" t="s">
        <v>1350</v>
      </c>
      <c r="B103" s="997" t="s">
        <v>669</v>
      </c>
      <c r="C103" s="947">
        <f>mo!F138</f>
        <v>70000</v>
      </c>
      <c r="D103" s="1105"/>
      <c r="E103" s="1129">
        <f>mo!G138</f>
        <v>0</v>
      </c>
    </row>
    <row r="104" spans="1:5" ht="12">
      <c r="A104" s="1020" t="s">
        <v>100</v>
      </c>
      <c r="B104" s="997" t="s">
        <v>117</v>
      </c>
      <c r="C104" s="947">
        <f>mo!F139</f>
        <v>70000</v>
      </c>
      <c r="D104" s="1105"/>
      <c r="E104" s="1129">
        <f>mo!G139</f>
        <v>0</v>
      </c>
    </row>
    <row r="105" spans="1:5" ht="12">
      <c r="A105" s="1025" t="s">
        <v>85</v>
      </c>
      <c r="B105" s="997" t="s">
        <v>1322</v>
      </c>
      <c r="C105" s="937">
        <f>C112+C113+C114+C106+C107+C108+C109+C110+C111</f>
        <v>125000</v>
      </c>
      <c r="D105" s="991">
        <v>9300</v>
      </c>
      <c r="E105" s="1065">
        <f>mo!G143</f>
        <v>0</v>
      </c>
    </row>
    <row r="106" spans="1:5" ht="12">
      <c r="A106" s="1020" t="s">
        <v>89</v>
      </c>
      <c r="B106" s="997" t="s">
        <v>2790</v>
      </c>
      <c r="C106" s="937">
        <f>mo!F144</f>
        <v>0</v>
      </c>
      <c r="D106" s="991"/>
      <c r="E106" s="1065"/>
    </row>
    <row r="107" spans="1:5" ht="12">
      <c r="A107" s="1025" t="s">
        <v>91</v>
      </c>
      <c r="B107" s="997" t="s">
        <v>2791</v>
      </c>
      <c r="C107" s="937">
        <f>mo!F145</f>
        <v>0</v>
      </c>
      <c r="D107" s="991"/>
      <c r="E107" s="1065"/>
    </row>
    <row r="108" spans="1:5" ht="12">
      <c r="A108" s="1025" t="s">
        <v>97</v>
      </c>
      <c r="B108" s="997" t="s">
        <v>2792</v>
      </c>
      <c r="C108" s="937">
        <f>mo!F146</f>
        <v>0</v>
      </c>
      <c r="D108" s="991"/>
      <c r="E108" s="1065"/>
    </row>
    <row r="109" spans="1:5" ht="12">
      <c r="A109" s="1025" t="s">
        <v>100</v>
      </c>
      <c r="B109" s="997" t="s">
        <v>2793</v>
      </c>
      <c r="C109" s="937">
        <f>mo!F147</f>
        <v>0</v>
      </c>
      <c r="D109" s="991"/>
      <c r="E109" s="1065"/>
    </row>
    <row r="110" spans="1:5" ht="12">
      <c r="A110" s="1020" t="s">
        <v>89</v>
      </c>
      <c r="B110" s="997" t="s">
        <v>2794</v>
      </c>
      <c r="C110" s="937">
        <f>mo!F148</f>
        <v>5000</v>
      </c>
      <c r="D110" s="991"/>
      <c r="E110" s="1065"/>
    </row>
    <row r="111" spans="1:5" ht="12">
      <c r="A111" s="1025" t="s">
        <v>95</v>
      </c>
      <c r="B111" s="997" t="s">
        <v>2795</v>
      </c>
      <c r="C111" s="937">
        <f>mo!F150</f>
        <v>20000</v>
      </c>
      <c r="D111" s="991"/>
      <c r="E111" s="1065"/>
    </row>
    <row r="112" spans="1:5" ht="12">
      <c r="A112" s="1026" t="s">
        <v>91</v>
      </c>
      <c r="B112" s="993" t="s">
        <v>1250</v>
      </c>
      <c r="C112" s="1065">
        <f>mo!F149</f>
        <v>10000</v>
      </c>
      <c r="D112" s="1066"/>
      <c r="E112" s="1065">
        <f>mo!G149</f>
        <v>0</v>
      </c>
    </row>
    <row r="113" spans="1:5" ht="12">
      <c r="A113" s="1026" t="s">
        <v>97</v>
      </c>
      <c r="B113" s="993" t="s">
        <v>1251</v>
      </c>
      <c r="C113" s="1065">
        <f>mo!F151</f>
        <v>40000</v>
      </c>
      <c r="D113" s="1066"/>
      <c r="E113" s="1065">
        <f>mo!G151</f>
        <v>0</v>
      </c>
    </row>
    <row r="114" spans="1:5" ht="12.75" thickBot="1">
      <c r="A114" s="1020" t="s">
        <v>1164</v>
      </c>
      <c r="B114" s="994" t="s">
        <v>1237</v>
      </c>
      <c r="C114" s="947">
        <f>mo!F152</f>
        <v>50000</v>
      </c>
      <c r="D114" s="948"/>
      <c r="E114" s="947">
        <f>mo!G152</f>
        <v>0</v>
      </c>
    </row>
    <row r="115" spans="1:5" ht="12.75" thickBot="1">
      <c r="A115" s="1023" t="s">
        <v>1238</v>
      </c>
      <c r="B115" s="990" t="s">
        <v>1239</v>
      </c>
      <c r="C115" s="934">
        <f>mo!F153+mo!F157+mo!F165</f>
        <v>673590</v>
      </c>
      <c r="D115" s="935">
        <v>673590</v>
      </c>
      <c r="E115" s="936">
        <f>SUM(E116:E119)</f>
        <v>0</v>
      </c>
    </row>
    <row r="116" spans="1:5" ht="12">
      <c r="A116" s="1025" t="s">
        <v>1166</v>
      </c>
      <c r="B116" s="997" t="s">
        <v>1167</v>
      </c>
      <c r="C116" s="951"/>
      <c r="D116" s="940"/>
      <c r="E116" s="951"/>
    </row>
    <row r="117" spans="1:5" ht="12">
      <c r="A117" s="1026" t="s">
        <v>91</v>
      </c>
      <c r="B117" s="997" t="s">
        <v>118</v>
      </c>
      <c r="C117" s="942">
        <f>mo!F158</f>
        <v>0</v>
      </c>
      <c r="D117" s="940">
        <v>0</v>
      </c>
      <c r="E117" s="951">
        <f>mo!G158</f>
        <v>0</v>
      </c>
    </row>
    <row r="118" spans="1:5" ht="36">
      <c r="A118" s="1026" t="s">
        <v>144</v>
      </c>
      <c r="B118" s="993" t="s">
        <v>2796</v>
      </c>
      <c r="C118" s="942">
        <f>mo!F160</f>
        <v>173590</v>
      </c>
      <c r="D118" s="943">
        <v>173600</v>
      </c>
      <c r="E118" s="945">
        <f>mo!G160</f>
        <v>0</v>
      </c>
    </row>
    <row r="119" spans="1:5" ht="12.75" thickBot="1">
      <c r="A119" s="1026" t="s">
        <v>91</v>
      </c>
      <c r="B119" s="994" t="s">
        <v>1172</v>
      </c>
      <c r="C119" s="949">
        <f>mo!F166</f>
        <v>0</v>
      </c>
      <c r="D119" s="948">
        <v>95000</v>
      </c>
      <c r="E119" s="949">
        <f>mo!G166</f>
        <v>0</v>
      </c>
    </row>
    <row r="120" spans="1:5" ht="12.75" thickBot="1">
      <c r="A120" s="1027" t="s">
        <v>142</v>
      </c>
      <c r="B120" s="989" t="s">
        <v>1173</v>
      </c>
      <c r="C120" s="978">
        <f>C121+C127+C134</f>
        <v>2074317.43</v>
      </c>
      <c r="D120" s="979">
        <v>1740000</v>
      </c>
      <c r="E120" s="980">
        <f>E121+E127+E134</f>
        <v>140807</v>
      </c>
    </row>
    <row r="121" spans="1:5" ht="12">
      <c r="A121" s="1123" t="s">
        <v>2034</v>
      </c>
      <c r="B121" s="1124" t="s">
        <v>1174</v>
      </c>
      <c r="C121" s="1147">
        <f>mo!F168</f>
        <v>620417.42999999993</v>
      </c>
      <c r="D121" s="1148"/>
      <c r="E121" s="1149">
        <f>E122+E123+E125+E126+E124</f>
        <v>1110</v>
      </c>
    </row>
    <row r="122" spans="1:5" ht="12">
      <c r="A122" s="1026" t="s">
        <v>91</v>
      </c>
      <c r="B122" s="1128" t="s">
        <v>670</v>
      </c>
      <c r="C122" s="942">
        <f>mo!F176</f>
        <v>0</v>
      </c>
      <c r="D122" s="950"/>
      <c r="E122" s="942">
        <f>mo!G178</f>
        <v>0</v>
      </c>
    </row>
    <row r="123" spans="1:5" ht="12">
      <c r="A123" s="1026" t="s">
        <v>89</v>
      </c>
      <c r="B123" s="1128" t="s">
        <v>1175</v>
      </c>
      <c r="C123" s="942">
        <f>mo!F174</f>
        <v>60017.43</v>
      </c>
      <c r="D123" s="950"/>
      <c r="E123" s="942">
        <f>mo!G174</f>
        <v>0</v>
      </c>
    </row>
    <row r="124" spans="1:5" ht="12">
      <c r="A124" s="1026" t="s">
        <v>91</v>
      </c>
      <c r="B124" s="1128" t="s">
        <v>671</v>
      </c>
      <c r="C124" s="942">
        <f>mo!F175</f>
        <v>0</v>
      </c>
      <c r="D124" s="950"/>
      <c r="E124" s="942">
        <f>mo!G175</f>
        <v>0</v>
      </c>
    </row>
    <row r="125" spans="1:5" ht="12">
      <c r="A125" s="1026" t="s">
        <v>97</v>
      </c>
      <c r="B125" s="1128" t="s">
        <v>672</v>
      </c>
      <c r="C125" s="942">
        <f>mo!F178</f>
        <v>150400</v>
      </c>
      <c r="D125" s="950"/>
      <c r="E125" s="942"/>
    </row>
    <row r="126" spans="1:5" ht="12">
      <c r="A126" s="1026" t="s">
        <v>100</v>
      </c>
      <c r="B126" s="1128" t="s">
        <v>116</v>
      </c>
      <c r="C126" s="942">
        <f>mo!F180</f>
        <v>410000</v>
      </c>
      <c r="D126" s="950"/>
      <c r="E126" s="942">
        <f>mo!G180</f>
        <v>1110</v>
      </c>
    </row>
    <row r="127" spans="1:5" ht="12">
      <c r="A127" s="1424" t="s">
        <v>146</v>
      </c>
      <c r="B127" s="1104" t="s">
        <v>1252</v>
      </c>
      <c r="C127" s="1425">
        <f>C129+C131+C133+C130+C128+C132</f>
        <v>603900</v>
      </c>
      <c r="D127" s="1105"/>
      <c r="E127" s="1426">
        <f>E129+E131+E133+E130+E128+E132</f>
        <v>99448</v>
      </c>
    </row>
    <row r="128" spans="1:5" ht="12">
      <c r="A128" s="1051" t="s">
        <v>85</v>
      </c>
      <c r="B128" s="1128" t="s">
        <v>2321</v>
      </c>
      <c r="C128" s="1504">
        <f>mo!F186</f>
        <v>150000</v>
      </c>
      <c r="D128" s="1130"/>
      <c r="E128" s="1129">
        <f>mo!G186</f>
        <v>96000</v>
      </c>
    </row>
    <row r="129" spans="1:5" ht="12">
      <c r="A129" s="1032" t="s">
        <v>89</v>
      </c>
      <c r="B129" s="995" t="s">
        <v>1178</v>
      </c>
      <c r="C129" s="967">
        <f>mo!F188</f>
        <v>343900</v>
      </c>
      <c r="D129" s="968"/>
      <c r="E129" s="967">
        <f>mo!G188</f>
        <v>3448</v>
      </c>
    </row>
    <row r="130" spans="1:5" ht="12">
      <c r="A130" s="1026" t="s">
        <v>91</v>
      </c>
      <c r="B130" s="993" t="s">
        <v>107</v>
      </c>
      <c r="C130" s="942">
        <f>mo!F189</f>
        <v>10000</v>
      </c>
      <c r="D130" s="950"/>
      <c r="E130" s="942">
        <f>mo!G189</f>
        <v>0</v>
      </c>
    </row>
    <row r="131" spans="1:5" ht="12">
      <c r="A131" s="1026" t="s">
        <v>97</v>
      </c>
      <c r="B131" s="993" t="s">
        <v>1179</v>
      </c>
      <c r="C131" s="947">
        <f>mo!F191</f>
        <v>50000</v>
      </c>
      <c r="D131" s="966"/>
      <c r="E131" s="947"/>
    </row>
    <row r="132" spans="1:5" ht="12">
      <c r="A132" s="1020" t="s">
        <v>2858</v>
      </c>
      <c r="B132" s="994" t="s">
        <v>2857</v>
      </c>
      <c r="C132" s="947">
        <f>mo!F193</f>
        <v>0</v>
      </c>
      <c r="D132" s="966"/>
      <c r="E132" s="947">
        <f>mo!G193</f>
        <v>0</v>
      </c>
    </row>
    <row r="133" spans="1:5" ht="12.75" thickBot="1">
      <c r="A133" s="1020" t="s">
        <v>1164</v>
      </c>
      <c r="B133" s="994" t="s">
        <v>1253</v>
      </c>
      <c r="C133" s="947">
        <f>mo!F192</f>
        <v>50000</v>
      </c>
      <c r="D133" s="966"/>
      <c r="E133" s="947">
        <f>mo!G192</f>
        <v>0</v>
      </c>
    </row>
    <row r="134" spans="1:5" ht="12.75" thickBot="1">
      <c r="A134" s="1150" t="s">
        <v>1254</v>
      </c>
      <c r="B134" s="1124" t="s">
        <v>1180</v>
      </c>
      <c r="C134" s="1151">
        <f>C136+C137+C138+C139+C140+C141+C142+C135</f>
        <v>850000</v>
      </c>
      <c r="D134" s="1146">
        <v>850000</v>
      </c>
      <c r="E134" s="1145">
        <f>mo!G195</f>
        <v>40249</v>
      </c>
    </row>
    <row r="135" spans="1:5" ht="12.75" thickBot="1">
      <c r="A135" s="1044" t="s">
        <v>87</v>
      </c>
      <c r="B135" s="1160" t="s">
        <v>2798</v>
      </c>
      <c r="C135" s="1065">
        <f>mo!F199</f>
        <v>0</v>
      </c>
      <c r="D135" s="943"/>
      <c r="E135" s="945"/>
    </row>
    <row r="136" spans="1:5" ht="12.75" thickBot="1">
      <c r="A136" s="1026" t="s">
        <v>91</v>
      </c>
      <c r="B136" s="1160" t="s">
        <v>1942</v>
      </c>
      <c r="C136" s="1065">
        <f>mo!F202</f>
        <v>155000</v>
      </c>
      <c r="D136" s="943"/>
      <c r="E136" s="945">
        <f>mo!G202</f>
        <v>13794</v>
      </c>
    </row>
    <row r="137" spans="1:5" ht="12.75" thickBot="1">
      <c r="A137" s="1026" t="s">
        <v>89</v>
      </c>
      <c r="B137" s="1160" t="s">
        <v>1181</v>
      </c>
      <c r="C137" s="1065">
        <f>mo!F201</f>
        <v>195000</v>
      </c>
      <c r="D137" s="943"/>
      <c r="E137" s="945">
        <f>mo!G201</f>
        <v>3542.64</v>
      </c>
    </row>
    <row r="138" spans="1:5" ht="12.75" thickBot="1">
      <c r="A138" s="1026" t="s">
        <v>97</v>
      </c>
      <c r="B138" s="1160" t="s">
        <v>1182</v>
      </c>
      <c r="C138" s="1065">
        <f>mo!F203</f>
        <v>45000</v>
      </c>
      <c r="D138" s="943"/>
      <c r="E138" s="945"/>
    </row>
    <row r="139" spans="1:5" ht="12">
      <c r="A139" s="1026" t="s">
        <v>100</v>
      </c>
      <c r="B139" s="1160" t="s">
        <v>1943</v>
      </c>
      <c r="C139" s="1065">
        <f>mo!F204</f>
        <v>205000</v>
      </c>
      <c r="D139" s="943"/>
      <c r="E139" s="945">
        <f>mo!G204</f>
        <v>14590</v>
      </c>
    </row>
    <row r="140" spans="1:5" ht="36">
      <c r="A140" s="1026" t="s">
        <v>144</v>
      </c>
      <c r="B140" s="1128" t="s">
        <v>291</v>
      </c>
      <c r="C140" s="1065">
        <f>mo!F206</f>
        <v>200000</v>
      </c>
      <c r="D140" s="943"/>
      <c r="E140" s="945">
        <f>mo!G206</f>
        <v>8322.36</v>
      </c>
    </row>
    <row r="141" spans="1:5" ht="36.75" thickBot="1">
      <c r="A141" s="1026" t="s">
        <v>144</v>
      </c>
      <c r="B141" s="1128" t="s">
        <v>2797</v>
      </c>
      <c r="C141" s="1065">
        <f>mo!F205</f>
        <v>10000</v>
      </c>
      <c r="D141" s="943"/>
      <c r="E141" s="945"/>
    </row>
    <row r="142" spans="1:5" ht="12.75" thickBot="1">
      <c r="A142" s="1028" t="s">
        <v>85</v>
      </c>
      <c r="B142" s="995" t="s">
        <v>108</v>
      </c>
      <c r="C142" s="967">
        <f>mo!F198</f>
        <v>40000</v>
      </c>
      <c r="D142" s="1153"/>
      <c r="E142" s="967">
        <f>mo!G200</f>
        <v>0</v>
      </c>
    </row>
    <row r="143" spans="1:5" ht="12.75">
      <c r="A143" s="1123" t="s">
        <v>182</v>
      </c>
      <c r="B143" s="1124" t="s">
        <v>1703</v>
      </c>
      <c r="C143" s="1152">
        <f>C145+C147+C149+C148+C144+C146</f>
        <v>110000</v>
      </c>
      <c r="D143" s="1719">
        <v>110000</v>
      </c>
      <c r="E143" s="1154">
        <f>E145+E147+E149+E148+E144</f>
        <v>9600</v>
      </c>
    </row>
    <row r="144" spans="1:5" ht="12">
      <c r="A144" s="1026" t="s">
        <v>85</v>
      </c>
      <c r="B144" s="1128" t="s">
        <v>673</v>
      </c>
      <c r="C144" s="1155">
        <f>mo!F212</f>
        <v>0</v>
      </c>
      <c r="D144" s="1054"/>
      <c r="E144" s="1053">
        <f>mo!G212</f>
        <v>0</v>
      </c>
    </row>
    <row r="145" spans="1:5" ht="24">
      <c r="A145" s="1025" t="s">
        <v>2001</v>
      </c>
      <c r="B145" s="997" t="s">
        <v>1255</v>
      </c>
      <c r="C145" s="939">
        <f>mo!F214</f>
        <v>100000</v>
      </c>
      <c r="D145" s="965"/>
      <c r="E145" s="939">
        <f>mo!G214</f>
        <v>9600</v>
      </c>
    </row>
    <row r="146" spans="1:5" ht="36">
      <c r="A146" s="1026" t="s">
        <v>144</v>
      </c>
      <c r="B146" s="997" t="s">
        <v>1461</v>
      </c>
      <c r="C146" s="939">
        <f>mo!F213</f>
        <v>0</v>
      </c>
      <c r="D146" s="965"/>
      <c r="E146" s="939"/>
    </row>
    <row r="147" spans="1:5" ht="12">
      <c r="A147" s="1026" t="s">
        <v>95</v>
      </c>
      <c r="B147" s="993" t="s">
        <v>1187</v>
      </c>
      <c r="C147" s="942">
        <f>mo!F213</f>
        <v>0</v>
      </c>
      <c r="D147" s="950"/>
      <c r="E147" s="942">
        <f>mo!G215</f>
        <v>0</v>
      </c>
    </row>
    <row r="148" spans="1:5" ht="12">
      <c r="A148" s="1020" t="s">
        <v>1176</v>
      </c>
      <c r="B148" s="994" t="s">
        <v>1189</v>
      </c>
      <c r="C148" s="947">
        <f>mo!F215</f>
        <v>2000</v>
      </c>
      <c r="D148" s="966"/>
      <c r="E148" s="947">
        <f>mo!G216</f>
        <v>0</v>
      </c>
    </row>
    <row r="149" spans="1:5" ht="12.75" thickBot="1">
      <c r="A149" s="1020" t="s">
        <v>1169</v>
      </c>
      <c r="B149" s="994" t="s">
        <v>1190</v>
      </c>
      <c r="C149" s="947">
        <f>mo!F216</f>
        <v>8000</v>
      </c>
      <c r="D149" s="966"/>
      <c r="E149" s="947">
        <f>mo!G217</f>
        <v>0</v>
      </c>
    </row>
    <row r="150" spans="1:5" ht="12.75" thickBot="1">
      <c r="A150" s="1027" t="s">
        <v>1240</v>
      </c>
      <c r="B150" s="990" t="s">
        <v>1196</v>
      </c>
      <c r="C150" s="1067">
        <f>C152+C153+C155+C151+C154</f>
        <v>70000</v>
      </c>
      <c r="D150" s="982">
        <v>70000</v>
      </c>
      <c r="E150" s="983">
        <f>SUM(E151:E155)</f>
        <v>3200</v>
      </c>
    </row>
    <row r="151" spans="1:5" ht="12">
      <c r="A151" s="1025" t="s">
        <v>85</v>
      </c>
      <c r="B151" s="997" t="s">
        <v>1256</v>
      </c>
      <c r="C151" s="1068">
        <f>mo!F224</f>
        <v>5000</v>
      </c>
      <c r="D151" s="991"/>
      <c r="E151" s="937">
        <f>mo!G224</f>
        <v>0</v>
      </c>
    </row>
    <row r="152" spans="1:5" ht="12">
      <c r="A152" s="1026" t="s">
        <v>1257</v>
      </c>
      <c r="B152" s="993" t="s">
        <v>1198</v>
      </c>
      <c r="C152" s="942">
        <f>mo!F225</f>
        <v>15000</v>
      </c>
      <c r="D152" s="950"/>
      <c r="E152" s="942">
        <f>mo!G225</f>
        <v>0</v>
      </c>
    </row>
    <row r="153" spans="1:5" ht="12">
      <c r="A153" s="1026" t="s">
        <v>95</v>
      </c>
      <c r="B153" s="993" t="s">
        <v>1258</v>
      </c>
      <c r="C153" s="942">
        <f>mo!F226</f>
        <v>36000</v>
      </c>
      <c r="D153" s="950"/>
      <c r="E153" s="942">
        <f>mo!G226</f>
        <v>2700</v>
      </c>
    </row>
    <row r="154" spans="1:5" ht="12">
      <c r="A154" s="1026" t="s">
        <v>97</v>
      </c>
      <c r="B154" s="994" t="s">
        <v>298</v>
      </c>
      <c r="C154" s="942">
        <f>mo!F227</f>
        <v>10000</v>
      </c>
      <c r="D154" s="966"/>
      <c r="E154" s="947"/>
    </row>
    <row r="155" spans="1:5" ht="12.75" thickBot="1">
      <c r="A155" s="1020" t="s">
        <v>1169</v>
      </c>
      <c r="B155" s="994" t="s">
        <v>1242</v>
      </c>
      <c r="C155" s="947">
        <f>mo!F228</f>
        <v>4000</v>
      </c>
      <c r="D155" s="966"/>
      <c r="E155" s="947">
        <f>mo!G228</f>
        <v>500</v>
      </c>
    </row>
    <row r="156" spans="1:5" ht="12.75" thickBot="1">
      <c r="A156" s="1027" t="s">
        <v>1205</v>
      </c>
      <c r="B156" s="989" t="s">
        <v>1206</v>
      </c>
      <c r="C156" s="978">
        <v>0</v>
      </c>
      <c r="D156" s="979">
        <v>0</v>
      </c>
      <c r="E156" s="980">
        <f>E157</f>
        <v>0</v>
      </c>
    </row>
    <row r="157" spans="1:5" ht="12.75" thickBot="1">
      <c r="A157" s="1028" t="s">
        <v>1092</v>
      </c>
      <c r="B157" s="995" t="s">
        <v>1207</v>
      </c>
      <c r="C157" s="996">
        <f>mo!F239</f>
        <v>0</v>
      </c>
      <c r="D157" s="960"/>
      <c r="E157" s="996">
        <f>mo!G239</f>
        <v>0</v>
      </c>
    </row>
    <row r="158" spans="1:5" ht="12.75" thickBot="1">
      <c r="A158" s="1027" t="s">
        <v>69</v>
      </c>
      <c r="B158" s="989" t="s">
        <v>2079</v>
      </c>
      <c r="C158" s="978">
        <f>C159</f>
        <v>1429292.22</v>
      </c>
      <c r="D158" s="979">
        <v>1429292.22</v>
      </c>
      <c r="E158" s="980">
        <f>E159</f>
        <v>114610.74</v>
      </c>
    </row>
    <row r="159" spans="1:5" ht="12.75" thickBot="1">
      <c r="A159" s="1028" t="s">
        <v>73</v>
      </c>
      <c r="B159" s="995" t="s">
        <v>1208</v>
      </c>
      <c r="C159" s="967">
        <f>mo!F241</f>
        <v>1429292.22</v>
      </c>
      <c r="D159" s="968">
        <v>1429292.22</v>
      </c>
      <c r="E159" s="967">
        <f>mo!G241</f>
        <v>114610.74</v>
      </c>
    </row>
    <row r="160" spans="1:5" ht="12.75" thickBot="1">
      <c r="A160" s="1027" t="s">
        <v>1209</v>
      </c>
      <c r="B160" s="1031" t="s">
        <v>3438</v>
      </c>
      <c r="C160" s="978">
        <f>C45+C87+C96+C120+C158+C143+C150+C115</f>
        <v>10719500</v>
      </c>
      <c r="D160" s="979">
        <f>D45+D87+D96+D120+D158+D143+D150+D115</f>
        <v>10385182.57</v>
      </c>
      <c r="E160" s="978">
        <f>E45+E87+E96+E120+E158+E143+E150+E115+E86</f>
        <v>1170996.25</v>
      </c>
    </row>
    <row r="161" spans="1:5" ht="12.75" thickBot="1">
      <c r="A161" s="1032"/>
      <c r="B161" s="998"/>
      <c r="C161" s="996"/>
      <c r="D161" s="960"/>
      <c r="E161" s="996"/>
    </row>
    <row r="162" spans="1:5" ht="24.75" thickBot="1">
      <c r="A162" s="1027" t="s">
        <v>1211</v>
      </c>
      <c r="B162" s="1033" t="s">
        <v>1212</v>
      </c>
      <c r="C162" s="981">
        <f>C42-C160</f>
        <v>0</v>
      </c>
      <c r="D162" s="982">
        <f>D42-D160</f>
        <v>17.429999999701977</v>
      </c>
      <c r="E162" s="983">
        <f>E42-E160</f>
        <v>1020965.71</v>
      </c>
    </row>
    <row r="163" spans="1:5" ht="36">
      <c r="A163" s="1034" t="s">
        <v>1213</v>
      </c>
      <c r="B163" s="1035" t="s">
        <v>1214</v>
      </c>
      <c r="C163" s="951"/>
      <c r="D163" s="940"/>
      <c r="E163" s="951"/>
    </row>
    <row r="164" spans="1:5" ht="12">
      <c r="A164" s="1026" t="s">
        <v>1215</v>
      </c>
      <c r="B164" s="1036" t="s">
        <v>999</v>
      </c>
      <c r="C164" s="963"/>
      <c r="D164" s="943"/>
      <c r="E164" s="945"/>
    </row>
    <row r="165" spans="1:5" ht="12">
      <c r="A165" s="1026" t="s">
        <v>1216</v>
      </c>
      <c r="B165" s="1036" t="s">
        <v>1002</v>
      </c>
      <c r="C165" s="945"/>
      <c r="D165" s="943"/>
      <c r="E165" s="945"/>
    </row>
    <row r="166" spans="1:5" ht="12">
      <c r="A166" s="1026" t="s">
        <v>1217</v>
      </c>
      <c r="B166" s="1036" t="s">
        <v>1003</v>
      </c>
      <c r="C166" s="945"/>
      <c r="D166" s="943"/>
      <c r="E166" s="945"/>
    </row>
    <row r="167" spans="1:5" ht="12">
      <c r="A167" s="1026" t="s">
        <v>1218</v>
      </c>
      <c r="B167" s="1036"/>
      <c r="C167" s="945"/>
      <c r="D167" s="943"/>
      <c r="E167" s="945"/>
    </row>
    <row r="168" spans="1:5" ht="12">
      <c r="A168" s="1037" t="s">
        <v>1219</v>
      </c>
      <c r="B168" s="1038" t="s">
        <v>1004</v>
      </c>
      <c r="C168" s="1039">
        <f>C169+C170</f>
        <v>0</v>
      </c>
      <c r="D168" s="1040">
        <f>D169+D170</f>
        <v>-17.429999999701977</v>
      </c>
      <c r="E168" s="1039">
        <f>E169+E170</f>
        <v>-607031.83000000007</v>
      </c>
    </row>
    <row r="169" spans="1:5" ht="24">
      <c r="A169" s="1026" t="s">
        <v>1220</v>
      </c>
      <c r="B169" s="1036" t="s">
        <v>1006</v>
      </c>
      <c r="C169" s="942">
        <f>-(C42+C164+C165)</f>
        <v>-10719500</v>
      </c>
      <c r="D169" s="950">
        <f>-(D42+D164+D165)</f>
        <v>-10385200</v>
      </c>
      <c r="E169" s="942">
        <v>-1469226.12</v>
      </c>
    </row>
    <row r="170" spans="1:5" ht="24.75" thickBot="1">
      <c r="A170" s="1020" t="s">
        <v>1221</v>
      </c>
      <c r="B170" s="1069" t="s">
        <v>1008</v>
      </c>
      <c r="C170" s="947">
        <f>C160-C166</f>
        <v>10719500</v>
      </c>
      <c r="D170" s="966">
        <f>D160-D166</f>
        <v>10385182.57</v>
      </c>
      <c r="E170" s="947">
        <v>862194.29</v>
      </c>
    </row>
    <row r="171" spans="1:5" ht="12.75" thickBot="1">
      <c r="A171" s="1023" t="s">
        <v>1222</v>
      </c>
      <c r="B171" s="1070" t="s">
        <v>1214</v>
      </c>
      <c r="C171" s="934">
        <f>C164+C165+C166+C168</f>
        <v>0</v>
      </c>
      <c r="D171" s="935">
        <f>D164+D165+D166+D168</f>
        <v>-17.429999999701977</v>
      </c>
      <c r="E171" s="936">
        <f>E164+E165+E166+E168</f>
        <v>-607031.83000000007</v>
      </c>
    </row>
    <row r="172" spans="1:5" ht="12">
      <c r="A172" s="2753"/>
      <c r="B172" s="2753"/>
      <c r="C172" s="2753"/>
      <c r="D172" s="2753"/>
      <c r="E172" s="2753"/>
    </row>
    <row r="173" spans="1:5" ht="12">
      <c r="A173" s="1041" t="s">
        <v>2322</v>
      </c>
      <c r="B173" s="1041"/>
      <c r="C173" s="1032"/>
      <c r="D173" s="1133"/>
      <c r="E173" s="1133"/>
    </row>
    <row r="174" spans="1:5" ht="12">
      <c r="A174" s="1919" t="s">
        <v>3439</v>
      </c>
      <c r="B174" s="1041"/>
      <c r="C174" s="1032"/>
      <c r="D174" s="1133"/>
      <c r="E174" s="1133"/>
    </row>
    <row r="175" spans="1:5" ht="12">
      <c r="A175" s="998" t="s">
        <v>3000</v>
      </c>
      <c r="B175" s="1131">
        <v>0</v>
      </c>
      <c r="C175" s="1032"/>
      <c r="D175" s="1133"/>
      <c r="E175" s="1133"/>
    </row>
    <row r="176" spans="1:5" ht="12">
      <c r="A176" s="998" t="s">
        <v>2988</v>
      </c>
      <c r="B176" s="1131">
        <v>61641.26</v>
      </c>
      <c r="C176" s="1032"/>
      <c r="D176" s="1133"/>
      <c r="E176" s="1133"/>
    </row>
    <row r="177" spans="1:5" ht="12">
      <c r="A177" s="998" t="s">
        <v>2999</v>
      </c>
      <c r="B177" s="1131">
        <v>48405.67</v>
      </c>
      <c r="C177" s="1032"/>
      <c r="D177" s="1133"/>
      <c r="E177" s="1133"/>
    </row>
    <row r="178" spans="1:5" ht="12">
      <c r="A178" s="998" t="s">
        <v>3440</v>
      </c>
      <c r="B178" s="1131">
        <v>4288.22</v>
      </c>
      <c r="C178" s="1032"/>
      <c r="D178" s="2598"/>
      <c r="E178" s="2598"/>
    </row>
    <row r="179" spans="1:5" ht="12">
      <c r="A179" s="998" t="s">
        <v>2998</v>
      </c>
      <c r="B179" s="1131">
        <v>554337.93999999994</v>
      </c>
      <c r="C179" s="1032"/>
      <c r="D179" s="1133"/>
      <c r="E179" s="1133"/>
    </row>
    <row r="180" spans="1:5" ht="12">
      <c r="A180" s="1131" t="s">
        <v>2996</v>
      </c>
      <c r="B180" s="1131">
        <v>0</v>
      </c>
      <c r="C180" s="1032"/>
      <c r="D180" s="1133"/>
      <c r="E180" s="1133"/>
    </row>
    <row r="181" spans="1:5" ht="12">
      <c r="A181" s="1164" t="s">
        <v>2997</v>
      </c>
      <c r="B181" s="1131">
        <f>SUM(B175:B180)</f>
        <v>668673.09</v>
      </c>
      <c r="C181" s="1032"/>
      <c r="D181" s="1133"/>
      <c r="E181" s="1133"/>
    </row>
    <row r="182" spans="1:5" ht="12">
      <c r="A182" s="1133"/>
      <c r="B182" s="1133"/>
      <c r="C182" s="1133"/>
      <c r="D182" s="1133"/>
      <c r="E182" s="1133"/>
    </row>
    <row r="183" spans="1:5" ht="12">
      <c r="A183" s="1133"/>
      <c r="B183" s="1133"/>
      <c r="C183" s="1133"/>
      <c r="D183" s="1133"/>
      <c r="E183" s="1133"/>
    </row>
    <row r="184" spans="1:5" ht="12">
      <c r="A184" s="998" t="s">
        <v>2875</v>
      </c>
      <c r="B184" s="1043"/>
      <c r="C184" s="1044"/>
      <c r="D184" s="998" t="s">
        <v>768</v>
      </c>
      <c r="E184" s="1000"/>
    </row>
    <row r="185" spans="1:5" ht="12">
      <c r="A185" s="1000"/>
      <c r="B185" s="1000"/>
      <c r="C185" s="1000"/>
      <c r="D185" s="1000"/>
      <c r="E185" s="1000"/>
    </row>
    <row r="186" spans="1:5" ht="12">
      <c r="A186" s="998" t="s">
        <v>1223</v>
      </c>
      <c r="B186" s="1043"/>
      <c r="C186" s="1032"/>
      <c r="D186" s="998" t="s">
        <v>2876</v>
      </c>
      <c r="E186" s="1000"/>
    </row>
    <row r="187" spans="1:5" ht="12">
      <c r="A187" s="1000"/>
      <c r="B187" s="1045"/>
      <c r="C187" s="1000"/>
      <c r="D187" s="1000"/>
      <c r="E187" s="1000"/>
    </row>
    <row r="188" spans="1:5" ht="12">
      <c r="A188" s="998" t="s">
        <v>68</v>
      </c>
      <c r="B188" s="1046"/>
      <c r="C188" s="1047"/>
      <c r="D188" s="998" t="s">
        <v>769</v>
      </c>
      <c r="E188" s="1000"/>
    </row>
  </sheetData>
  <mergeCells count="1">
    <mergeCell ref="A172:E172"/>
  </mergeCells>
  <phoneticPr fontId="0" type="noConversion"/>
  <pageMargins left="0.74803149606299213" right="0.32" top="0.35" bottom="0.33" header="0.35" footer="0.28000000000000003"/>
  <pageSetup paperSize="9" scale="78" fitToHeight="4" orientation="portrait" r:id="rId1"/>
  <headerFooter alignWithMargins="0"/>
  <rowBreaks count="2" manualBreakCount="2">
    <brk id="15" max="16383" man="1"/>
    <brk id="26" max="16383" man="1"/>
  </rowBreaks>
</worksheet>
</file>

<file path=xl/worksheets/sheet17.xml><?xml version="1.0" encoding="utf-8"?>
<worksheet xmlns="http://schemas.openxmlformats.org/spreadsheetml/2006/main" xmlns:r="http://schemas.openxmlformats.org/officeDocument/2006/relationships">
  <sheetPr codeName="Лист18" enableFormatConditionsCalculation="0">
    <tabColor indexed="24"/>
  </sheetPr>
  <dimension ref="A1:E180"/>
  <sheetViews>
    <sheetView topLeftCell="A145" workbookViewId="0">
      <selection activeCell="G155" sqref="G155"/>
    </sheetView>
  </sheetViews>
  <sheetFormatPr defaultRowHeight="11.25"/>
  <cols>
    <col min="1" max="1" width="34.6640625" customWidth="1"/>
    <col min="2" max="2" width="27.33203125" customWidth="1"/>
    <col min="3" max="3" width="15.5" customWidth="1"/>
    <col min="4" max="4" width="16" bestFit="1" customWidth="1"/>
    <col min="5" max="5" width="15.1640625" customWidth="1"/>
  </cols>
  <sheetData>
    <row r="1" spans="1:5" ht="12">
      <c r="A1" s="998"/>
      <c r="B1" s="999" t="s">
        <v>1036</v>
      </c>
      <c r="C1" s="999"/>
      <c r="D1" s="998"/>
      <c r="E1" s="1000"/>
    </row>
    <row r="2" spans="1:5" ht="12">
      <c r="A2" s="998"/>
      <c r="B2" s="999" t="s">
        <v>1038</v>
      </c>
      <c r="C2" s="999"/>
      <c r="D2" s="998"/>
      <c r="E2" s="1000"/>
    </row>
    <row r="3" spans="1:5" ht="12">
      <c r="A3" s="998"/>
      <c r="B3" s="999" t="s">
        <v>1259</v>
      </c>
      <c r="C3" s="999"/>
      <c r="D3" s="998"/>
      <c r="E3" s="1000"/>
    </row>
    <row r="4" spans="1:5" ht="12">
      <c r="A4" s="998" t="s">
        <v>3445</v>
      </c>
      <c r="B4" s="998"/>
      <c r="C4" s="998"/>
      <c r="D4" s="998"/>
      <c r="E4" s="1000"/>
    </row>
    <row r="5" spans="1:5" ht="36.75" thickBot="1">
      <c r="A5" s="1001" t="s">
        <v>1040</v>
      </c>
      <c r="B5" s="1001" t="s">
        <v>1041</v>
      </c>
      <c r="C5" s="1001" t="s">
        <v>1042</v>
      </c>
      <c r="D5" s="1002" t="s">
        <v>1043</v>
      </c>
      <c r="E5" s="1001" t="s">
        <v>688</v>
      </c>
    </row>
    <row r="6" spans="1:5" ht="12.75" thickBot="1">
      <c r="A6" s="1003" t="s">
        <v>1044</v>
      </c>
      <c r="B6" s="1004" t="s">
        <v>1045</v>
      </c>
      <c r="C6" s="934">
        <f>SUM(C7:C25)</f>
        <v>453200</v>
      </c>
      <c r="D6" s="935">
        <f>SUM(D7:D25)</f>
        <v>453200</v>
      </c>
      <c r="E6" s="934">
        <f>SUM(E7:E25)</f>
        <v>141929.56</v>
      </c>
    </row>
    <row r="7" spans="1:5" ht="84.75" customHeight="1">
      <c r="A7" s="932" t="s">
        <v>1031</v>
      </c>
      <c r="B7" s="933" t="s">
        <v>2184</v>
      </c>
      <c r="C7" s="939">
        <f>mo!H5</f>
        <v>235000</v>
      </c>
      <c r="D7" s="940">
        <v>235000</v>
      </c>
      <c r="E7" s="939">
        <f>mo!I5</f>
        <v>33261</v>
      </c>
    </row>
    <row r="8" spans="1:5" ht="94.5" customHeight="1">
      <c r="A8" s="1005" t="s">
        <v>1032</v>
      </c>
      <c r="B8" s="941" t="s">
        <v>2186</v>
      </c>
      <c r="C8" s="942"/>
      <c r="D8" s="943"/>
      <c r="E8" s="942">
        <f>mo!I7</f>
        <v>0</v>
      </c>
    </row>
    <row r="9" spans="1:5" ht="72">
      <c r="A9" s="1005" t="s">
        <v>1033</v>
      </c>
      <c r="B9" s="941" t="s">
        <v>2187</v>
      </c>
      <c r="C9" s="942"/>
      <c r="D9" s="943"/>
      <c r="E9" s="942">
        <f>mo!I8</f>
        <v>0</v>
      </c>
    </row>
    <row r="10" spans="1:5" ht="99.75" customHeight="1">
      <c r="A10" s="1006" t="s">
        <v>1270</v>
      </c>
      <c r="B10" s="941" t="s">
        <v>2188</v>
      </c>
      <c r="C10" s="942"/>
      <c r="D10" s="943"/>
      <c r="E10" s="942"/>
    </row>
    <row r="11" spans="1:5" ht="48">
      <c r="A11" s="1006" t="s">
        <v>242</v>
      </c>
      <c r="B11" s="941" t="s">
        <v>246</v>
      </c>
      <c r="C11" s="942">
        <f>mo!H10</f>
        <v>35600</v>
      </c>
      <c r="D11" s="943">
        <v>35600</v>
      </c>
      <c r="E11" s="942">
        <f>mo!I10</f>
        <v>9686.8700000000008</v>
      </c>
    </row>
    <row r="12" spans="1:5" ht="72">
      <c r="A12" s="1006" t="s">
        <v>243</v>
      </c>
      <c r="B12" s="941" t="s">
        <v>247</v>
      </c>
      <c r="C12" s="942">
        <f>mo!H11</f>
        <v>1000</v>
      </c>
      <c r="D12" s="943">
        <v>1000</v>
      </c>
      <c r="E12" s="942">
        <f>mo!I11</f>
        <v>169.25</v>
      </c>
    </row>
    <row r="13" spans="1:5" ht="72">
      <c r="A13" s="1006" t="s">
        <v>244</v>
      </c>
      <c r="B13" s="941" t="s">
        <v>248</v>
      </c>
      <c r="C13" s="942">
        <f>mo!H12</f>
        <v>80400</v>
      </c>
      <c r="D13" s="943">
        <v>80400</v>
      </c>
      <c r="E13" s="942">
        <f>mo!I12</f>
        <v>19734.189999999999</v>
      </c>
    </row>
    <row r="14" spans="1:5" ht="72">
      <c r="A14" s="1006" t="s">
        <v>245</v>
      </c>
      <c r="B14" s="941" t="s">
        <v>249</v>
      </c>
      <c r="C14" s="942">
        <f>mo!H13</f>
        <v>1000</v>
      </c>
      <c r="D14" s="943">
        <v>1000</v>
      </c>
      <c r="E14" s="942">
        <f>mo!I13</f>
        <v>-1741.75</v>
      </c>
    </row>
    <row r="15" spans="1:5" ht="72">
      <c r="A15" s="1005" t="s">
        <v>1277</v>
      </c>
      <c r="B15" s="941" t="s">
        <v>2195</v>
      </c>
      <c r="C15" s="942">
        <f>mo!H14</f>
        <v>0</v>
      </c>
      <c r="D15" s="943"/>
      <c r="E15" s="942">
        <f>mo!I14</f>
        <v>0</v>
      </c>
    </row>
    <row r="16" spans="1:5" ht="108">
      <c r="A16" s="1005" t="s">
        <v>1286</v>
      </c>
      <c r="B16" s="941" t="s">
        <v>604</v>
      </c>
      <c r="C16" s="942">
        <f>mo!H15</f>
        <v>0</v>
      </c>
      <c r="D16" s="943"/>
      <c r="E16" s="942">
        <f>mo!I15</f>
        <v>0</v>
      </c>
    </row>
    <row r="17" spans="1:5" ht="85.5" customHeight="1">
      <c r="A17" s="1005" t="s">
        <v>1</v>
      </c>
      <c r="B17" s="941" t="s">
        <v>606</v>
      </c>
      <c r="C17" s="942">
        <f>mo!H16</f>
        <v>0</v>
      </c>
      <c r="D17" s="943"/>
      <c r="E17" s="942">
        <f>mo!I16</f>
        <v>0</v>
      </c>
    </row>
    <row r="18" spans="1:5" ht="60">
      <c r="A18" s="1005" t="s">
        <v>2161</v>
      </c>
      <c r="B18" s="941" t="s">
        <v>2207</v>
      </c>
      <c r="C18" s="942">
        <f>mo!H17</f>
        <v>0</v>
      </c>
      <c r="D18" s="943"/>
      <c r="E18" s="942">
        <f>mo!I17</f>
        <v>0</v>
      </c>
    </row>
    <row r="19" spans="1:5" ht="120">
      <c r="A19" s="1005" t="s">
        <v>2124</v>
      </c>
      <c r="B19" s="941" t="s">
        <v>873</v>
      </c>
      <c r="C19" s="942">
        <f>mo!H18</f>
        <v>23500</v>
      </c>
      <c r="D19" s="943">
        <v>23500</v>
      </c>
      <c r="E19" s="942">
        <f>mo!I18</f>
        <v>0</v>
      </c>
    </row>
    <row r="20" spans="1:5" ht="96">
      <c r="A20" s="1005" t="s">
        <v>1632</v>
      </c>
      <c r="B20" s="941" t="s">
        <v>2270</v>
      </c>
      <c r="C20" s="942">
        <f>mo!H19</f>
        <v>66700</v>
      </c>
      <c r="D20" s="943">
        <v>66700</v>
      </c>
      <c r="E20" s="942">
        <f>mo!I19</f>
        <v>79000</v>
      </c>
    </row>
    <row r="21" spans="1:5" ht="80.25" customHeight="1">
      <c r="A21" s="1005" t="s">
        <v>2182</v>
      </c>
      <c r="B21" s="941" t="s">
        <v>2268</v>
      </c>
      <c r="C21" s="942">
        <v>0</v>
      </c>
      <c r="D21" s="943"/>
      <c r="E21" s="942"/>
    </row>
    <row r="22" spans="1:5" ht="60">
      <c r="A22" s="1007" t="s">
        <v>8</v>
      </c>
      <c r="B22" s="944" t="s">
        <v>1945</v>
      </c>
      <c r="C22" s="942">
        <v>0</v>
      </c>
      <c r="D22" s="943"/>
      <c r="E22" s="942">
        <f>mo!I22</f>
        <v>0</v>
      </c>
    </row>
    <row r="23" spans="1:5" ht="36">
      <c r="A23" s="1005" t="s">
        <v>9</v>
      </c>
      <c r="B23" s="941" t="s">
        <v>1947</v>
      </c>
      <c r="C23" s="942">
        <f>mo!H23</f>
        <v>0</v>
      </c>
      <c r="D23" s="943"/>
      <c r="E23" s="942">
        <f>mo!I23</f>
        <v>0</v>
      </c>
    </row>
    <row r="24" spans="1:5" ht="12">
      <c r="A24" s="1005" t="s">
        <v>2082</v>
      </c>
      <c r="B24" s="941" t="s">
        <v>29</v>
      </c>
      <c r="C24" s="942">
        <f>mo!H24</f>
        <v>10000</v>
      </c>
      <c r="D24" s="943">
        <v>10000</v>
      </c>
      <c r="E24" s="942">
        <f>mo!I24</f>
        <v>1820</v>
      </c>
    </row>
    <row r="25" spans="1:5" ht="36.75" thickBot="1">
      <c r="A25" s="1008" t="s">
        <v>12</v>
      </c>
      <c r="B25" s="946" t="s">
        <v>1354</v>
      </c>
      <c r="C25" s="947">
        <v>0</v>
      </c>
      <c r="D25" s="948"/>
      <c r="E25" s="947">
        <v>0</v>
      </c>
    </row>
    <row r="26" spans="1:5" ht="24.75" thickBot="1">
      <c r="A26" s="1009" t="s">
        <v>48</v>
      </c>
      <c r="B26" s="1004" t="s">
        <v>1047</v>
      </c>
      <c r="C26" s="934">
        <f>SUM(C27:C39)</f>
        <v>7852200</v>
      </c>
      <c r="D26" s="935">
        <f>SUM(D27:D39)</f>
        <v>6851200</v>
      </c>
      <c r="E26" s="936">
        <f>SUM(E27:E39)</f>
        <v>1730088.73</v>
      </c>
    </row>
    <row r="27" spans="1:5" ht="72">
      <c r="A27" s="1010" t="s">
        <v>1148</v>
      </c>
      <c r="B27" s="944" t="s">
        <v>1147</v>
      </c>
      <c r="C27" s="939">
        <f>mo!H31</f>
        <v>0</v>
      </c>
      <c r="D27" s="940"/>
      <c r="E27" s="939">
        <f>mo!I31</f>
        <v>0</v>
      </c>
    </row>
    <row r="28" spans="1:5" ht="60">
      <c r="A28" s="1010" t="s">
        <v>1078</v>
      </c>
      <c r="B28" s="944" t="s">
        <v>1226</v>
      </c>
      <c r="C28" s="939"/>
      <c r="D28" s="940"/>
      <c r="E28" s="939"/>
    </row>
    <row r="29" spans="1:5" ht="48">
      <c r="A29" s="1011" t="s">
        <v>2393</v>
      </c>
      <c r="B29" s="944" t="s">
        <v>1356</v>
      </c>
      <c r="C29" s="939">
        <f>mo!H29</f>
        <v>1001000</v>
      </c>
      <c r="D29" s="940"/>
      <c r="E29" s="939">
        <f>mo!I29</f>
        <v>20000</v>
      </c>
    </row>
    <row r="30" spans="1:5" ht="36">
      <c r="A30" s="1011" t="s">
        <v>1048</v>
      </c>
      <c r="B30" s="944" t="s">
        <v>2864</v>
      </c>
      <c r="C30" s="942">
        <f>mo!H28</f>
        <v>6760500</v>
      </c>
      <c r="D30" s="943">
        <v>6760500</v>
      </c>
      <c r="E30" s="942">
        <f>mo!I28</f>
        <v>1689000</v>
      </c>
    </row>
    <row r="31" spans="1:5" ht="48">
      <c r="A31" s="1011" t="s">
        <v>1245</v>
      </c>
      <c r="B31" s="944" t="s">
        <v>2080</v>
      </c>
      <c r="C31" s="942">
        <f>mo!H34</f>
        <v>0</v>
      </c>
      <c r="D31" s="943"/>
      <c r="E31" s="942">
        <f>mo!I34</f>
        <v>0</v>
      </c>
    </row>
    <row r="32" spans="1:5" ht="36">
      <c r="A32" s="1014" t="s">
        <v>1260</v>
      </c>
      <c r="B32" s="952" t="s">
        <v>2080</v>
      </c>
      <c r="C32" s="942">
        <f>mo!H33</f>
        <v>0</v>
      </c>
      <c r="D32" s="955"/>
      <c r="E32" s="942">
        <f>mo!I33</f>
        <v>0</v>
      </c>
    </row>
    <row r="33" spans="1:5" ht="84">
      <c r="A33" s="1014" t="s">
        <v>1077</v>
      </c>
      <c r="B33" s="952" t="s">
        <v>2080</v>
      </c>
      <c r="C33" s="942">
        <f>mo!H35</f>
        <v>0</v>
      </c>
      <c r="D33" s="955"/>
      <c r="E33" s="942">
        <f>mo!I35</f>
        <v>0</v>
      </c>
    </row>
    <row r="34" spans="1:5" ht="60">
      <c r="A34" s="1010" t="s">
        <v>1228</v>
      </c>
      <c r="B34" s="952" t="s">
        <v>2080</v>
      </c>
      <c r="C34" s="942">
        <f>mo!H36</f>
        <v>0</v>
      </c>
      <c r="D34" s="955"/>
      <c r="E34" s="942">
        <f>mo!I36</f>
        <v>0</v>
      </c>
    </row>
    <row r="35" spans="1:5" ht="48">
      <c r="A35" s="1010" t="s">
        <v>1076</v>
      </c>
      <c r="B35" s="952" t="s">
        <v>2080</v>
      </c>
      <c r="C35" s="942">
        <f>mo!H37</f>
        <v>0</v>
      </c>
      <c r="D35" s="955"/>
      <c r="E35" s="942">
        <f>mo!I37</f>
        <v>0</v>
      </c>
    </row>
    <row r="36" spans="1:5" ht="48">
      <c r="A36" s="1010" t="s">
        <v>1076</v>
      </c>
      <c r="B36" s="952" t="s">
        <v>1229</v>
      </c>
      <c r="C36" s="942"/>
      <c r="D36" s="955"/>
      <c r="E36" s="942"/>
    </row>
    <row r="37" spans="1:5" ht="24">
      <c r="A37" s="1012" t="s">
        <v>357</v>
      </c>
      <c r="B37" s="1013" t="s">
        <v>2865</v>
      </c>
      <c r="C37" s="942">
        <f>mo!H39</f>
        <v>700</v>
      </c>
      <c r="D37" s="957">
        <v>700</v>
      </c>
      <c r="E37" s="942"/>
    </row>
    <row r="38" spans="1:5" ht="72">
      <c r="A38" s="1010" t="s">
        <v>2828</v>
      </c>
      <c r="B38" s="952" t="s">
        <v>686</v>
      </c>
      <c r="C38" s="942">
        <f>mo!H41</f>
        <v>0</v>
      </c>
      <c r="D38" s="1048">
        <v>0</v>
      </c>
      <c r="E38" s="942">
        <f>mo!I41</f>
        <v>0</v>
      </c>
    </row>
    <row r="39" spans="1:5" ht="60.75" thickBot="1">
      <c r="A39" s="1016" t="s">
        <v>1584</v>
      </c>
      <c r="B39" s="959" t="s">
        <v>2866</v>
      </c>
      <c r="C39" s="947">
        <f>mo!H38</f>
        <v>90000</v>
      </c>
      <c r="D39" s="948">
        <v>90000</v>
      </c>
      <c r="E39" s="947">
        <f>mo!I38</f>
        <v>21088.73</v>
      </c>
    </row>
    <row r="40" spans="1:5" ht="12.75" thickBot="1">
      <c r="A40" s="1017" t="s">
        <v>1080</v>
      </c>
      <c r="B40" s="1018"/>
      <c r="C40" s="934">
        <f>C6+C26</f>
        <v>8305400</v>
      </c>
      <c r="D40" s="935">
        <f>D6+D26</f>
        <v>7304400</v>
      </c>
      <c r="E40" s="936">
        <f>E6+E26</f>
        <v>1872018.29</v>
      </c>
    </row>
    <row r="41" spans="1:5" ht="12">
      <c r="A41" s="1000" t="s">
        <v>1081</v>
      </c>
      <c r="B41" s="1000"/>
      <c r="C41" s="964"/>
      <c r="D41" s="1019"/>
      <c r="E41" s="964"/>
    </row>
    <row r="42" spans="1:5" ht="36.75" thickBot="1">
      <c r="A42" s="1020" t="s">
        <v>74</v>
      </c>
      <c r="B42" s="1020" t="s">
        <v>216</v>
      </c>
      <c r="C42" s="1021" t="s">
        <v>1042</v>
      </c>
      <c r="D42" s="1022" t="s">
        <v>1082</v>
      </c>
      <c r="E42" s="1021" t="s">
        <v>688</v>
      </c>
    </row>
    <row r="43" spans="1:5" ht="12.75" thickBot="1">
      <c r="A43" s="1023" t="s">
        <v>75</v>
      </c>
      <c r="B43" s="990" t="s">
        <v>1083</v>
      </c>
      <c r="C43" s="934">
        <f>SUM(C44:C57)</f>
        <v>5066200</v>
      </c>
      <c r="D43" s="935">
        <f>D58+D62+D78+D76+D80</f>
        <v>5106200</v>
      </c>
      <c r="E43" s="936">
        <f>SUM(E44:E57)</f>
        <v>1255088.96</v>
      </c>
    </row>
    <row r="44" spans="1:5" ht="12">
      <c r="A44" s="1025" t="s">
        <v>77</v>
      </c>
      <c r="B44" s="997" t="s">
        <v>1084</v>
      </c>
      <c r="C44" s="939">
        <f t="shared" ref="C44:D46" si="0">C59+C63</f>
        <v>3025500</v>
      </c>
      <c r="D44" s="940">
        <f t="shared" si="0"/>
        <v>0</v>
      </c>
      <c r="E44" s="939">
        <f>E59+E63</f>
        <v>665214.54</v>
      </c>
    </row>
    <row r="45" spans="1:5" ht="12">
      <c r="A45" s="1026" t="s">
        <v>81</v>
      </c>
      <c r="B45" s="993" t="s">
        <v>1086</v>
      </c>
      <c r="C45" s="942">
        <f t="shared" si="0"/>
        <v>854900</v>
      </c>
      <c r="D45" s="943">
        <f t="shared" si="0"/>
        <v>0</v>
      </c>
      <c r="E45" s="942">
        <f>E61+E64</f>
        <v>129479.95</v>
      </c>
    </row>
    <row r="46" spans="1:5" ht="12">
      <c r="A46" s="1026" t="s">
        <v>79</v>
      </c>
      <c r="B46" s="993" t="s">
        <v>1085</v>
      </c>
      <c r="C46" s="942">
        <f t="shared" si="0"/>
        <v>454100</v>
      </c>
      <c r="D46" s="943">
        <f t="shared" si="0"/>
        <v>0</v>
      </c>
      <c r="E46" s="942">
        <f>E60+E65</f>
        <v>133730</v>
      </c>
    </row>
    <row r="47" spans="1:5" ht="12">
      <c r="A47" s="1026" t="s">
        <v>83</v>
      </c>
      <c r="B47" s="993" t="s">
        <v>1087</v>
      </c>
      <c r="C47" s="942">
        <f>C66</f>
        <v>105000</v>
      </c>
      <c r="D47" s="943">
        <f>D66</f>
        <v>0</v>
      </c>
      <c r="E47" s="942">
        <f t="shared" ref="C47:E49" si="1">E66</f>
        <v>75042.100000000006</v>
      </c>
    </row>
    <row r="48" spans="1:5" ht="12">
      <c r="A48" s="1026" t="s">
        <v>85</v>
      </c>
      <c r="B48" s="993" t="s">
        <v>1088</v>
      </c>
      <c r="C48" s="942">
        <f t="shared" si="1"/>
        <v>100000</v>
      </c>
      <c r="D48" s="943">
        <f t="shared" si="1"/>
        <v>0</v>
      </c>
      <c r="E48" s="942">
        <f t="shared" si="1"/>
        <v>30000</v>
      </c>
    </row>
    <row r="49" spans="1:5" ht="12">
      <c r="A49" s="1026" t="s">
        <v>87</v>
      </c>
      <c r="B49" s="993" t="s">
        <v>1089</v>
      </c>
      <c r="C49" s="942">
        <f t="shared" si="1"/>
        <v>105700</v>
      </c>
      <c r="D49" s="943">
        <f t="shared" si="1"/>
        <v>0</v>
      </c>
      <c r="E49" s="942">
        <f t="shared" si="1"/>
        <v>78788.509999999995</v>
      </c>
    </row>
    <row r="50" spans="1:5" ht="12">
      <c r="A50" s="1026"/>
      <c r="B50" s="993" t="s">
        <v>115</v>
      </c>
      <c r="C50" s="942">
        <f>C69</f>
        <v>50000</v>
      </c>
      <c r="D50" s="943"/>
      <c r="E50" s="942">
        <f>E69</f>
        <v>15400</v>
      </c>
    </row>
    <row r="51" spans="1:5" ht="12">
      <c r="A51" s="1026" t="s">
        <v>89</v>
      </c>
      <c r="B51" s="993" t="s">
        <v>1090</v>
      </c>
      <c r="C51" s="942">
        <f>C70</f>
        <v>42400</v>
      </c>
      <c r="D51" s="943">
        <f>D70</f>
        <v>0</v>
      </c>
      <c r="E51" s="942">
        <f>E70</f>
        <v>26296.99</v>
      </c>
    </row>
    <row r="52" spans="1:5" ht="12">
      <c r="A52" s="1026" t="s">
        <v>91</v>
      </c>
      <c r="B52" s="993" t="s">
        <v>1091</v>
      </c>
      <c r="C52" s="942">
        <f>C71</f>
        <v>62900</v>
      </c>
      <c r="D52" s="943">
        <f>D71</f>
        <v>0</v>
      </c>
      <c r="E52" s="942">
        <f>E71</f>
        <v>37103.869999999995</v>
      </c>
    </row>
    <row r="53" spans="1:5" ht="12">
      <c r="A53" s="1026" t="s">
        <v>1092</v>
      </c>
      <c r="B53" s="993" t="s">
        <v>1093</v>
      </c>
      <c r="C53" s="942"/>
      <c r="D53" s="943"/>
      <c r="E53" s="942">
        <f>E149</f>
        <v>0</v>
      </c>
    </row>
    <row r="54" spans="1:5" ht="12">
      <c r="A54" s="1026" t="s">
        <v>1094</v>
      </c>
      <c r="B54" s="993" t="s">
        <v>1095</v>
      </c>
      <c r="C54" s="942">
        <f>C72</f>
        <v>0</v>
      </c>
      <c r="D54" s="943">
        <f>D72</f>
        <v>0</v>
      </c>
      <c r="E54" s="942">
        <f>E72</f>
        <v>0</v>
      </c>
    </row>
    <row r="55" spans="1:5" ht="12">
      <c r="A55" s="1026" t="s">
        <v>95</v>
      </c>
      <c r="B55" s="993" t="s">
        <v>1096</v>
      </c>
      <c r="C55" s="942">
        <f>C73+C79+C76</f>
        <v>15000</v>
      </c>
      <c r="D55" s="943"/>
      <c r="E55" s="942">
        <f>E73+E79+E77</f>
        <v>2105</v>
      </c>
    </row>
    <row r="56" spans="1:5" ht="24">
      <c r="A56" s="1026" t="s">
        <v>97</v>
      </c>
      <c r="B56" s="993" t="s">
        <v>1097</v>
      </c>
      <c r="C56" s="942">
        <f t="shared" ref="C56:E57" si="2">C74</f>
        <v>50000</v>
      </c>
      <c r="D56" s="943">
        <f t="shared" si="2"/>
        <v>0</v>
      </c>
      <c r="E56" s="942">
        <f t="shared" si="2"/>
        <v>15400</v>
      </c>
    </row>
    <row r="57" spans="1:5" ht="24.75" thickBot="1">
      <c r="A57" s="1020" t="s">
        <v>100</v>
      </c>
      <c r="B57" s="994" t="s">
        <v>1098</v>
      </c>
      <c r="C57" s="947">
        <f>C75+C80</f>
        <v>200700</v>
      </c>
      <c r="D57" s="948">
        <f t="shared" si="2"/>
        <v>0</v>
      </c>
      <c r="E57" s="947">
        <f t="shared" si="2"/>
        <v>46528</v>
      </c>
    </row>
    <row r="58" spans="1:5" ht="36.75" thickBot="1">
      <c r="A58" s="1027" t="s">
        <v>1099</v>
      </c>
      <c r="B58" s="989" t="s">
        <v>1100</v>
      </c>
      <c r="C58" s="971">
        <f>SUM(C59:C61)</f>
        <v>764100</v>
      </c>
      <c r="D58" s="972">
        <v>804100</v>
      </c>
      <c r="E58" s="973">
        <f>SUM(E59:E61)</f>
        <v>298014.52</v>
      </c>
    </row>
    <row r="59" spans="1:5" ht="12">
      <c r="A59" s="1025" t="s">
        <v>77</v>
      </c>
      <c r="B59" s="997" t="s">
        <v>1101</v>
      </c>
      <c r="C59" s="939">
        <f>mo!H71</f>
        <v>510100</v>
      </c>
      <c r="D59" s="940"/>
      <c r="E59" s="939">
        <f>mo!I71</f>
        <v>160390.16</v>
      </c>
    </row>
    <row r="60" spans="1:5" ht="12">
      <c r="A60" s="1026" t="s">
        <v>79</v>
      </c>
      <c r="B60" s="993" t="s">
        <v>1102</v>
      </c>
      <c r="C60" s="942">
        <f>mo!H72</f>
        <v>99900</v>
      </c>
      <c r="D60" s="943"/>
      <c r="E60" s="942">
        <f>mo!I72</f>
        <v>90000</v>
      </c>
    </row>
    <row r="61" spans="1:5" ht="12.75" thickBot="1">
      <c r="A61" s="1020" t="s">
        <v>81</v>
      </c>
      <c r="B61" s="994" t="s">
        <v>1103</v>
      </c>
      <c r="C61" s="947">
        <f>mo!H73</f>
        <v>154100</v>
      </c>
      <c r="D61" s="948"/>
      <c r="E61" s="947">
        <f>mo!I73</f>
        <v>47624.36</v>
      </c>
    </row>
    <row r="62" spans="1:5" ht="48.75" thickBot="1">
      <c r="A62" s="1027" t="s">
        <v>1109</v>
      </c>
      <c r="B62" s="989" t="s">
        <v>1110</v>
      </c>
      <c r="C62" s="971">
        <f>SUM(C63:C75)</f>
        <v>4296400</v>
      </c>
      <c r="D62" s="972">
        <v>4296400</v>
      </c>
      <c r="E62" s="973">
        <f>SUM(E63:E75)</f>
        <v>957074.44</v>
      </c>
    </row>
    <row r="63" spans="1:5" ht="12">
      <c r="A63" s="1025" t="s">
        <v>77</v>
      </c>
      <c r="B63" s="997" t="s">
        <v>1111</v>
      </c>
      <c r="C63" s="939">
        <f>mo!H87</f>
        <v>2515400</v>
      </c>
      <c r="D63" s="940"/>
      <c r="E63" s="939">
        <f>mo!I87</f>
        <v>504824.38</v>
      </c>
    </row>
    <row r="64" spans="1:5" ht="12">
      <c r="A64" s="1026" t="s">
        <v>81</v>
      </c>
      <c r="B64" s="993" t="s">
        <v>1113</v>
      </c>
      <c r="C64" s="942">
        <f>mo!H88</f>
        <v>755000</v>
      </c>
      <c r="D64" s="943"/>
      <c r="E64" s="942">
        <f>mo!I88</f>
        <v>81855.59</v>
      </c>
    </row>
    <row r="65" spans="1:5" ht="12">
      <c r="A65" s="1026" t="s">
        <v>79</v>
      </c>
      <c r="B65" s="993" t="s">
        <v>1112</v>
      </c>
      <c r="C65" s="942">
        <f>mo!H89</f>
        <v>300000</v>
      </c>
      <c r="D65" s="943"/>
      <c r="E65" s="942">
        <f>mo!I89</f>
        <v>43730</v>
      </c>
    </row>
    <row r="66" spans="1:5" ht="12">
      <c r="A66" s="1026" t="s">
        <v>83</v>
      </c>
      <c r="B66" s="993" t="s">
        <v>1114</v>
      </c>
      <c r="C66" s="942">
        <f>mo!H95+mo!H100</f>
        <v>105000</v>
      </c>
      <c r="D66" s="943"/>
      <c r="E66" s="942">
        <f>mo!I95+mo!I100</f>
        <v>75042.100000000006</v>
      </c>
    </row>
    <row r="67" spans="1:5" ht="12">
      <c r="A67" s="1026" t="s">
        <v>85</v>
      </c>
      <c r="B67" s="993" t="s">
        <v>1115</v>
      </c>
      <c r="C67" s="942">
        <f>mo!H101</f>
        <v>100000</v>
      </c>
      <c r="D67" s="943"/>
      <c r="E67" s="942">
        <f>mo!I101</f>
        <v>30000</v>
      </c>
    </row>
    <row r="68" spans="1:5" ht="12">
      <c r="A68" s="1026" t="s">
        <v>87</v>
      </c>
      <c r="B68" s="993" t="s">
        <v>1116</v>
      </c>
      <c r="C68" s="942">
        <f>mo!H102</f>
        <v>105700</v>
      </c>
      <c r="D68" s="943"/>
      <c r="E68" s="942">
        <f>mo!I102</f>
        <v>78788.509999999995</v>
      </c>
    </row>
    <row r="69" spans="1:5" ht="12">
      <c r="A69" s="1026"/>
      <c r="B69" s="993" t="s">
        <v>114</v>
      </c>
      <c r="C69" s="942">
        <f>mo!H98</f>
        <v>50000</v>
      </c>
      <c r="D69" s="943"/>
      <c r="E69" s="942">
        <f>mo!I98</f>
        <v>15400</v>
      </c>
    </row>
    <row r="70" spans="1:5" ht="12">
      <c r="A70" s="1026" t="s">
        <v>89</v>
      </c>
      <c r="B70" s="993" t="s">
        <v>1117</v>
      </c>
      <c r="C70" s="942">
        <f>mo!H96+mo!H103</f>
        <v>42400</v>
      </c>
      <c r="D70" s="943"/>
      <c r="E70" s="942">
        <f>mo!I96+mo!I103</f>
        <v>26296.99</v>
      </c>
    </row>
    <row r="71" spans="1:5" ht="12">
      <c r="A71" s="1026" t="s">
        <v>91</v>
      </c>
      <c r="B71" s="993" t="s">
        <v>1118</v>
      </c>
      <c r="C71" s="942">
        <f>mo!H97+mo!H104</f>
        <v>62900</v>
      </c>
      <c r="D71" s="943"/>
      <c r="E71" s="942">
        <f>mo!I97+mo!I104</f>
        <v>37103.869999999995</v>
      </c>
    </row>
    <row r="72" spans="1:5" ht="12">
      <c r="A72" s="1026" t="s">
        <v>1094</v>
      </c>
      <c r="B72" s="993" t="s">
        <v>1119</v>
      </c>
      <c r="C72" s="942"/>
      <c r="D72" s="943"/>
      <c r="E72" s="942"/>
    </row>
    <row r="73" spans="1:5" ht="12">
      <c r="A73" s="1026" t="s">
        <v>95</v>
      </c>
      <c r="B73" s="993" t="s">
        <v>1120</v>
      </c>
      <c r="C73" s="942">
        <f>mo!H105+mo!H108+mo!H109</f>
        <v>10000</v>
      </c>
      <c r="D73" s="943"/>
      <c r="E73" s="942">
        <f>mo!I105+mo!I109</f>
        <v>2105</v>
      </c>
    </row>
    <row r="74" spans="1:5" ht="24">
      <c r="A74" s="1026" t="s">
        <v>97</v>
      </c>
      <c r="B74" s="993" t="s">
        <v>1121</v>
      </c>
      <c r="C74" s="942">
        <f>mo!H98+mo!H106</f>
        <v>50000</v>
      </c>
      <c r="D74" s="943"/>
      <c r="E74" s="942">
        <f>mo!I98+mo!I106</f>
        <v>15400</v>
      </c>
    </row>
    <row r="75" spans="1:5" ht="24.75" thickBot="1">
      <c r="A75" s="1020" t="s">
        <v>100</v>
      </c>
      <c r="B75" s="994" t="s">
        <v>1122</v>
      </c>
      <c r="C75" s="947">
        <f>mo!H99+mo!H107</f>
        <v>200000</v>
      </c>
      <c r="D75" s="948"/>
      <c r="E75" s="947">
        <f>mo!I99+mo!I107</f>
        <v>46528</v>
      </c>
    </row>
    <row r="76" spans="1:5" ht="12.75" thickBot="1">
      <c r="A76" s="1027" t="s">
        <v>1123</v>
      </c>
      <c r="B76" s="989" t="s">
        <v>1124</v>
      </c>
      <c r="C76" s="971">
        <f>C77</f>
        <v>0</v>
      </c>
      <c r="D76" s="972"/>
      <c r="E76" s="973">
        <f>E77</f>
        <v>0</v>
      </c>
    </row>
    <row r="77" spans="1:5" ht="12.75" thickBot="1">
      <c r="A77" s="1028" t="s">
        <v>95</v>
      </c>
      <c r="B77" s="995" t="s">
        <v>1125</v>
      </c>
      <c r="C77" s="1049">
        <f>mo!H112</f>
        <v>0</v>
      </c>
      <c r="D77" s="1050"/>
      <c r="E77" s="1049">
        <f>mo!I112</f>
        <v>0</v>
      </c>
    </row>
    <row r="78" spans="1:5" ht="12.75" thickBot="1">
      <c r="A78" s="1027" t="s">
        <v>128</v>
      </c>
      <c r="B78" s="989" t="s">
        <v>1126</v>
      </c>
      <c r="C78" s="978">
        <v>5000</v>
      </c>
      <c r="D78" s="979">
        <v>5000</v>
      </c>
      <c r="E78" s="980">
        <f>E79</f>
        <v>0</v>
      </c>
    </row>
    <row r="79" spans="1:5" ht="12">
      <c r="A79" s="1028" t="s">
        <v>95</v>
      </c>
      <c r="B79" s="995" t="s">
        <v>1127</v>
      </c>
      <c r="C79" s="967">
        <f>mo!H114</f>
        <v>5000</v>
      </c>
      <c r="D79" s="960"/>
      <c r="E79" s="967">
        <f>mo!I114</f>
        <v>0</v>
      </c>
    </row>
    <row r="80" spans="1:5" ht="24">
      <c r="A80" s="1037" t="s">
        <v>363</v>
      </c>
      <c r="B80" s="1423" t="s">
        <v>364</v>
      </c>
      <c r="C80" s="945">
        <f>mo!H115</f>
        <v>700</v>
      </c>
      <c r="D80" s="943">
        <v>700</v>
      </c>
      <c r="E80" s="945">
        <f>mo!I115</f>
        <v>0</v>
      </c>
    </row>
    <row r="81" spans="1:5" ht="12.75" thickBot="1">
      <c r="A81" s="1163" t="s">
        <v>1128</v>
      </c>
      <c r="B81" s="1141" t="s">
        <v>1129</v>
      </c>
      <c r="C81" s="1137">
        <f>SUM(C82:C87)</f>
        <v>90000</v>
      </c>
      <c r="D81" s="1138">
        <v>90000</v>
      </c>
      <c r="E81" s="1139">
        <f>SUM(E82:E87)</f>
        <v>21088.73</v>
      </c>
    </row>
    <row r="82" spans="1:5" ht="24">
      <c r="A82" s="1025" t="s">
        <v>1130</v>
      </c>
      <c r="B82" s="997" t="s">
        <v>1131</v>
      </c>
      <c r="C82" s="939">
        <f>mo!H118</f>
        <v>69000</v>
      </c>
      <c r="D82" s="965"/>
      <c r="E82" s="939">
        <f>mo!I118</f>
        <v>17422.02</v>
      </c>
    </row>
    <row r="83" spans="1:5" ht="12">
      <c r="A83" s="1026" t="s">
        <v>83</v>
      </c>
      <c r="B83" s="993" t="s">
        <v>1135</v>
      </c>
      <c r="C83" s="942">
        <f>mo!H123</f>
        <v>0</v>
      </c>
      <c r="D83" s="950"/>
      <c r="E83" s="942">
        <f>mo!I119</f>
        <v>3666.71</v>
      </c>
    </row>
    <row r="84" spans="1:5" ht="12">
      <c r="A84" s="1026" t="s">
        <v>1133</v>
      </c>
      <c r="B84" s="993" t="s">
        <v>1134</v>
      </c>
      <c r="C84" s="942">
        <f>mo!H119</f>
        <v>21000</v>
      </c>
      <c r="D84" s="950"/>
      <c r="E84" s="942">
        <f>mo!I123</f>
        <v>0</v>
      </c>
    </row>
    <row r="85" spans="1:5" ht="12">
      <c r="A85" s="1026" t="s">
        <v>85</v>
      </c>
      <c r="B85" s="993" t="s">
        <v>297</v>
      </c>
      <c r="C85" s="942">
        <f>mo!H127</f>
        <v>0</v>
      </c>
      <c r="D85" s="966"/>
      <c r="E85" s="947"/>
    </row>
    <row r="86" spans="1:5" ht="12">
      <c r="A86" s="1026" t="s">
        <v>91</v>
      </c>
      <c r="B86" s="993" t="s">
        <v>289</v>
      </c>
      <c r="C86" s="942">
        <f>mo!H127</f>
        <v>0</v>
      </c>
      <c r="D86" s="966"/>
      <c r="E86" s="947"/>
    </row>
    <row r="87" spans="1:5" ht="24.75" thickBot="1">
      <c r="A87" s="1020" t="s">
        <v>100</v>
      </c>
      <c r="B87" s="994" t="s">
        <v>1137</v>
      </c>
      <c r="C87" s="947">
        <f>mo!H128</f>
        <v>0</v>
      </c>
      <c r="D87" s="966"/>
      <c r="E87" s="947">
        <f>mo!I128</f>
        <v>0</v>
      </c>
    </row>
    <row r="88" spans="1:5" ht="12">
      <c r="A88" s="1453" t="s">
        <v>1138</v>
      </c>
      <c r="B88" s="1124" t="s">
        <v>1236</v>
      </c>
      <c r="C88" s="1151">
        <f>C90+C92+C91+C89+C94+C93</f>
        <v>200000</v>
      </c>
      <c r="D88" s="1153">
        <v>110000</v>
      </c>
      <c r="E88" s="1154">
        <f>E90+E91+E92+E89+E93</f>
        <v>0</v>
      </c>
    </row>
    <row r="89" spans="1:5" ht="12">
      <c r="A89" s="1026" t="s">
        <v>85</v>
      </c>
      <c r="B89" s="997" t="s">
        <v>2230</v>
      </c>
      <c r="C89" s="1065">
        <f>mo!H132+mo!H143</f>
        <v>150000</v>
      </c>
      <c r="D89" s="1054"/>
      <c r="E89" s="1053">
        <f>mo!I137</f>
        <v>0</v>
      </c>
    </row>
    <row r="90" spans="1:5" ht="12">
      <c r="A90" s="1025" t="s">
        <v>1138</v>
      </c>
      <c r="B90" s="997" t="s">
        <v>1140</v>
      </c>
      <c r="C90" s="939">
        <f>mo!H137</f>
        <v>50000</v>
      </c>
      <c r="D90" s="965"/>
      <c r="E90" s="939">
        <f>mo!I132</f>
        <v>0</v>
      </c>
    </row>
    <row r="91" spans="1:5" ht="24">
      <c r="A91" s="1020" t="s">
        <v>668</v>
      </c>
      <c r="B91" s="994" t="s">
        <v>669</v>
      </c>
      <c r="C91" s="967">
        <f>mo!H138</f>
        <v>0</v>
      </c>
      <c r="D91" s="968"/>
      <c r="E91" s="967"/>
    </row>
    <row r="92" spans="1:5" ht="24">
      <c r="A92" s="1020" t="s">
        <v>100</v>
      </c>
      <c r="B92" s="994" t="s">
        <v>1165</v>
      </c>
      <c r="C92" s="947">
        <f>mo!H139</f>
        <v>0</v>
      </c>
      <c r="D92" s="966"/>
      <c r="E92" s="947">
        <f>mo!I138</f>
        <v>0</v>
      </c>
    </row>
    <row r="93" spans="1:5" ht="24">
      <c r="A93" s="1026" t="s">
        <v>97</v>
      </c>
      <c r="B93" s="1128" t="s">
        <v>1251</v>
      </c>
      <c r="C93" s="942">
        <f>mo!H151</f>
        <v>0</v>
      </c>
      <c r="D93" s="950"/>
      <c r="E93" s="942">
        <f>mo!I151</f>
        <v>0</v>
      </c>
    </row>
    <row r="94" spans="1:5" ht="12.75" thickBot="1">
      <c r="A94" s="1176" t="s">
        <v>2783</v>
      </c>
      <c r="B94" s="995" t="s">
        <v>1237</v>
      </c>
      <c r="C94" s="967">
        <f>mo!H152</f>
        <v>0</v>
      </c>
      <c r="D94" s="968"/>
      <c r="E94" s="1177"/>
    </row>
    <row r="95" spans="1:5" ht="12.75" thickBot="1">
      <c r="A95" s="1023" t="s">
        <v>1238</v>
      </c>
      <c r="B95" s="990" t="s">
        <v>1239</v>
      </c>
      <c r="C95" s="981">
        <f>SUM(C96:C99)</f>
        <v>120000</v>
      </c>
      <c r="D95" s="982">
        <v>120000</v>
      </c>
      <c r="E95" s="983">
        <f>SUM(E96:E98)</f>
        <v>0</v>
      </c>
    </row>
    <row r="96" spans="1:5" ht="12">
      <c r="A96" s="1025" t="s">
        <v>1166</v>
      </c>
      <c r="B96" s="997" t="s">
        <v>1167</v>
      </c>
      <c r="C96" s="939">
        <f>mo!H154</f>
        <v>0</v>
      </c>
      <c r="D96" s="965"/>
      <c r="E96" s="939">
        <f>mo!I154</f>
        <v>0</v>
      </c>
    </row>
    <row r="97" spans="1:5" ht="12">
      <c r="A97" s="1026" t="s">
        <v>91</v>
      </c>
      <c r="B97" s="993" t="s">
        <v>2771</v>
      </c>
      <c r="C97" s="942">
        <f>mo!H158</f>
        <v>118000</v>
      </c>
      <c r="D97" s="950"/>
      <c r="E97" s="942">
        <f>mo!I158</f>
        <v>0</v>
      </c>
    </row>
    <row r="98" spans="1:5" ht="12">
      <c r="A98" s="1020" t="s">
        <v>91</v>
      </c>
      <c r="B98" s="994" t="s">
        <v>1172</v>
      </c>
      <c r="C98" s="947">
        <f>mo!H166</f>
        <v>2000</v>
      </c>
      <c r="D98" s="950"/>
      <c r="E98" s="947">
        <f>mo!I166</f>
        <v>0</v>
      </c>
    </row>
    <row r="99" spans="1:5" ht="48.75" thickBot="1">
      <c r="A99" s="1020" t="s">
        <v>295</v>
      </c>
      <c r="B99" s="994" t="s">
        <v>294</v>
      </c>
      <c r="C99" s="947">
        <f>mo!H167</f>
        <v>0</v>
      </c>
      <c r="D99" s="968"/>
      <c r="E99" s="947">
        <f>mo!I167</f>
        <v>0</v>
      </c>
    </row>
    <row r="100" spans="1:5" ht="12.75" thickBot="1">
      <c r="A100" s="1027" t="s">
        <v>142</v>
      </c>
      <c r="B100" s="989" t="s">
        <v>1173</v>
      </c>
      <c r="C100" s="978">
        <f>C101+C112+C121</f>
        <v>1870000</v>
      </c>
      <c r="D100" s="979">
        <f>D101+D112+D121</f>
        <v>869000</v>
      </c>
      <c r="E100" s="980">
        <f>E101+E112+E121</f>
        <v>88352.09</v>
      </c>
    </row>
    <row r="101" spans="1:5" ht="12.75" thickBot="1">
      <c r="A101" s="1027" t="s">
        <v>2034</v>
      </c>
      <c r="B101" s="1124" t="s">
        <v>1174</v>
      </c>
      <c r="C101" s="1127">
        <f>C105+C104+C110+C102+C111+C107+C103+C108+C106+C109</f>
        <v>328200</v>
      </c>
      <c r="D101" s="1126">
        <v>328200</v>
      </c>
      <c r="E101" s="1127">
        <f>E105+E104+E110+E102+E109+E103</f>
        <v>79471</v>
      </c>
    </row>
    <row r="102" spans="1:5" ht="12">
      <c r="A102" s="1026" t="s">
        <v>85</v>
      </c>
      <c r="B102" s="1128" t="s">
        <v>106</v>
      </c>
      <c r="C102" s="1129"/>
      <c r="D102" s="1130"/>
      <c r="E102" s="1129"/>
    </row>
    <row r="103" spans="1:5" ht="12">
      <c r="A103" s="1026" t="s">
        <v>87</v>
      </c>
      <c r="B103" s="1128" t="s">
        <v>2825</v>
      </c>
      <c r="C103" s="1129">
        <f>mo!H173</f>
        <v>0</v>
      </c>
      <c r="D103" s="1130"/>
      <c r="E103" s="1129">
        <f>mo!I173</f>
        <v>0</v>
      </c>
    </row>
    <row r="104" spans="1:5" ht="12">
      <c r="A104" s="1026" t="s">
        <v>89</v>
      </c>
      <c r="B104" s="1128" t="s">
        <v>1175</v>
      </c>
      <c r="C104" s="975">
        <f>mo!H174</f>
        <v>328200</v>
      </c>
      <c r="D104" s="1130"/>
      <c r="E104" s="942">
        <f>mo!I169</f>
        <v>79471</v>
      </c>
    </row>
    <row r="105" spans="1:5" ht="24">
      <c r="A105" s="1028" t="s">
        <v>1262</v>
      </c>
      <c r="B105" s="1128" t="s">
        <v>671</v>
      </c>
      <c r="C105" s="975">
        <f>mo!H175</f>
        <v>0</v>
      </c>
      <c r="D105" s="976"/>
      <c r="E105" s="975">
        <f>mo!I176</f>
        <v>0</v>
      </c>
    </row>
    <row r="106" spans="1:5" ht="12">
      <c r="A106" s="1028" t="s">
        <v>2823</v>
      </c>
      <c r="B106" s="1128" t="s">
        <v>2824</v>
      </c>
      <c r="C106" s="975"/>
      <c r="D106" s="976"/>
      <c r="E106" s="975"/>
    </row>
    <row r="107" spans="1:5" ht="12">
      <c r="A107" s="1028" t="s">
        <v>2779</v>
      </c>
      <c r="B107" s="1128" t="s">
        <v>670</v>
      </c>
      <c r="C107" s="975">
        <f>mo!H176</f>
        <v>0</v>
      </c>
      <c r="D107" s="976"/>
      <c r="E107" s="975"/>
    </row>
    <row r="108" spans="1:5" ht="12">
      <c r="A108" s="1028" t="s">
        <v>95</v>
      </c>
      <c r="B108" s="1128" t="s">
        <v>2826</v>
      </c>
      <c r="C108" s="975">
        <f>mo!H177</f>
        <v>0</v>
      </c>
      <c r="D108" s="976"/>
      <c r="E108" s="975"/>
    </row>
    <row r="109" spans="1:5" ht="12">
      <c r="A109" s="1028" t="s">
        <v>95</v>
      </c>
      <c r="B109" s="1128" t="s">
        <v>2838</v>
      </c>
      <c r="C109" s="975">
        <f>mo!H179</f>
        <v>0</v>
      </c>
      <c r="D109" s="976"/>
      <c r="E109" s="975">
        <f>mo!I179</f>
        <v>0</v>
      </c>
    </row>
    <row r="110" spans="1:5" ht="24">
      <c r="A110" s="1020" t="s">
        <v>97</v>
      </c>
      <c r="B110" s="1128" t="s">
        <v>296</v>
      </c>
      <c r="C110" s="975">
        <f>mo!H178</f>
        <v>0</v>
      </c>
      <c r="D110" s="976"/>
      <c r="E110" s="942">
        <f>mo!I180</f>
        <v>0</v>
      </c>
    </row>
    <row r="111" spans="1:5" ht="12">
      <c r="A111" s="1026" t="s">
        <v>1169</v>
      </c>
      <c r="B111" s="995" t="s">
        <v>1149</v>
      </c>
      <c r="C111" s="969">
        <f>mo!H180</f>
        <v>0</v>
      </c>
      <c r="D111" s="974"/>
      <c r="E111" s="939"/>
    </row>
    <row r="112" spans="1:5" ht="12">
      <c r="A112" s="1028"/>
      <c r="B112" s="1104" t="s">
        <v>1464</v>
      </c>
      <c r="C112" s="996">
        <f>SUM(C113:C120)</f>
        <v>1356800</v>
      </c>
      <c r="D112" s="960">
        <v>355800</v>
      </c>
      <c r="E112" s="1503">
        <f>E114+E120+E115+E116+E113+E117+E119</f>
        <v>0</v>
      </c>
    </row>
    <row r="113" spans="1:5" ht="12">
      <c r="A113" s="1026" t="s">
        <v>85</v>
      </c>
      <c r="B113" s="997" t="s">
        <v>2321</v>
      </c>
      <c r="C113" s="942">
        <f>mo!H186</f>
        <v>0</v>
      </c>
      <c r="D113" s="943"/>
      <c r="E113" s="945">
        <f>mo!I186</f>
        <v>0</v>
      </c>
    </row>
    <row r="114" spans="1:5" ht="24">
      <c r="A114" s="1025" t="s">
        <v>1263</v>
      </c>
      <c r="B114" s="997" t="s">
        <v>1178</v>
      </c>
      <c r="C114" s="939">
        <f>mo!H188</f>
        <v>1262500</v>
      </c>
      <c r="D114" s="940"/>
      <c r="E114" s="951">
        <f>mo!I188</f>
        <v>0</v>
      </c>
    </row>
    <row r="115" spans="1:5" ht="12">
      <c r="A115" s="1020" t="s">
        <v>91</v>
      </c>
      <c r="B115" s="997" t="s">
        <v>107</v>
      </c>
      <c r="C115" s="939">
        <f>mo!H189</f>
        <v>94300</v>
      </c>
      <c r="D115" s="960"/>
      <c r="E115" s="996">
        <f>mo!I189</f>
        <v>0</v>
      </c>
    </row>
    <row r="116" spans="1:5" ht="24">
      <c r="A116" s="1026" t="s">
        <v>97</v>
      </c>
      <c r="B116" s="997" t="s">
        <v>1179</v>
      </c>
      <c r="C116" s="939">
        <f>mo!H191</f>
        <v>0</v>
      </c>
      <c r="D116" s="960"/>
      <c r="E116" s="945">
        <f>mo!I191</f>
        <v>0</v>
      </c>
    </row>
    <row r="117" spans="1:5" ht="12">
      <c r="A117" s="1026" t="s">
        <v>95</v>
      </c>
      <c r="B117" s="994" t="s">
        <v>3009</v>
      </c>
      <c r="C117" s="939">
        <f>mo!H190</f>
        <v>0</v>
      </c>
      <c r="D117" s="960"/>
      <c r="E117" s="996">
        <f>mo!I190</f>
        <v>0</v>
      </c>
    </row>
    <row r="118" spans="1:5" ht="12">
      <c r="A118" s="1026"/>
      <c r="B118" s="994" t="s">
        <v>2827</v>
      </c>
      <c r="C118" s="939">
        <f>mo!H194</f>
        <v>0</v>
      </c>
      <c r="D118" s="960"/>
      <c r="E118" s="996"/>
    </row>
    <row r="119" spans="1:5" ht="12">
      <c r="A119" s="1026"/>
      <c r="B119" s="994" t="s">
        <v>3008</v>
      </c>
      <c r="C119" s="939">
        <f>mo!H193</f>
        <v>0</v>
      </c>
      <c r="D119" s="960"/>
      <c r="E119" s="996">
        <f>mo!I193</f>
        <v>0</v>
      </c>
    </row>
    <row r="120" spans="1:5" ht="12.75" thickBot="1">
      <c r="A120" s="1026" t="s">
        <v>2842</v>
      </c>
      <c r="B120" s="994" t="s">
        <v>1253</v>
      </c>
      <c r="C120" s="939">
        <f>mo!H192</f>
        <v>0</v>
      </c>
      <c r="D120" s="948"/>
      <c r="E120" s="949">
        <f>mo!I192</f>
        <v>0</v>
      </c>
    </row>
    <row r="121" spans="1:5" ht="12">
      <c r="A121" s="1123" t="s">
        <v>2041</v>
      </c>
      <c r="B121" s="1124" t="s">
        <v>1180</v>
      </c>
      <c r="C121" s="1125">
        <f>C122+C123+C124+C125+C129+C126+C127</f>
        <v>185000</v>
      </c>
      <c r="D121" s="1126">
        <v>185000</v>
      </c>
      <c r="E121" s="1127">
        <f>E125+E124+E122+E129+E127</f>
        <v>8881.09</v>
      </c>
    </row>
    <row r="122" spans="1:5" ht="12">
      <c r="A122" s="1026" t="s">
        <v>91</v>
      </c>
      <c r="B122" s="1128" t="s">
        <v>1942</v>
      </c>
      <c r="C122" s="1129">
        <f>mo!H202</f>
        <v>0</v>
      </c>
      <c r="D122" s="1130"/>
      <c r="E122" s="1129">
        <f>mo!I199</f>
        <v>0</v>
      </c>
    </row>
    <row r="123" spans="1:5" ht="12">
      <c r="A123" s="1025" t="s">
        <v>95</v>
      </c>
      <c r="B123" s="997" t="s">
        <v>1264</v>
      </c>
      <c r="C123" s="951"/>
      <c r="D123" s="940"/>
      <c r="E123" s="951"/>
    </row>
    <row r="124" spans="1:5" ht="36">
      <c r="A124" s="1020" t="s">
        <v>144</v>
      </c>
      <c r="B124" s="994" t="s">
        <v>291</v>
      </c>
      <c r="C124" s="947">
        <f>mo!H206</f>
        <v>70000</v>
      </c>
      <c r="D124" s="948"/>
      <c r="E124" s="947">
        <f>mo!I206</f>
        <v>8881.09</v>
      </c>
    </row>
    <row r="125" spans="1:5" ht="12">
      <c r="A125" s="1026" t="s">
        <v>85</v>
      </c>
      <c r="B125" s="994" t="s">
        <v>108</v>
      </c>
      <c r="C125" s="947">
        <f>mo!H198</f>
        <v>0</v>
      </c>
      <c r="D125" s="948"/>
      <c r="E125" s="947">
        <f>mo!I198</f>
        <v>0</v>
      </c>
    </row>
    <row r="126" spans="1:5" ht="12">
      <c r="A126" s="1026"/>
      <c r="B126" s="994" t="s">
        <v>2784</v>
      </c>
      <c r="C126" s="947">
        <f>mo!H199</f>
        <v>115000</v>
      </c>
      <c r="D126" s="948"/>
      <c r="E126" s="947"/>
    </row>
    <row r="127" spans="1:5" ht="12">
      <c r="A127" s="1026"/>
      <c r="B127" s="994" t="s">
        <v>1181</v>
      </c>
      <c r="C127" s="947">
        <f>mo!H201</f>
        <v>0</v>
      </c>
      <c r="D127" s="948"/>
      <c r="E127" s="947">
        <f>mo!I201</f>
        <v>0</v>
      </c>
    </row>
    <row r="128" spans="1:5" ht="12">
      <c r="A128" s="1026"/>
      <c r="B128" s="994"/>
      <c r="C128" s="947"/>
      <c r="D128" s="948"/>
      <c r="E128" s="947"/>
    </row>
    <row r="129" spans="1:5" ht="24">
      <c r="A129" s="1026" t="s">
        <v>100</v>
      </c>
      <c r="B129" s="1128" t="s">
        <v>1943</v>
      </c>
      <c r="C129" s="947">
        <f>mo!H204</f>
        <v>0</v>
      </c>
      <c r="D129" s="948"/>
      <c r="E129" s="947">
        <f>mo!I204</f>
        <v>0</v>
      </c>
    </row>
    <row r="130" spans="1:5" ht="12.75" thickBot="1">
      <c r="A130" s="1116" t="s">
        <v>182</v>
      </c>
      <c r="B130" s="1141" t="s">
        <v>223</v>
      </c>
      <c r="C130" s="945">
        <f>C131+C133+C135+C132+C134</f>
        <v>50000</v>
      </c>
      <c r="D130" s="943">
        <v>50000</v>
      </c>
      <c r="E130" s="942">
        <f>E131+E133+E134+E135</f>
        <v>0</v>
      </c>
    </row>
    <row r="131" spans="1:5" ht="12.75" thickBot="1">
      <c r="A131" s="1026" t="s">
        <v>91</v>
      </c>
      <c r="B131" s="1084" t="s">
        <v>1187</v>
      </c>
      <c r="C131" s="942">
        <f>mo!H213</f>
        <v>0</v>
      </c>
      <c r="D131" s="943"/>
      <c r="E131" s="942"/>
    </row>
    <row r="132" spans="1:5" ht="36.75" thickBot="1">
      <c r="A132" s="1020" t="s">
        <v>144</v>
      </c>
      <c r="B132" s="1084" t="s">
        <v>1461</v>
      </c>
      <c r="C132" s="942">
        <f>mo!H217</f>
        <v>0</v>
      </c>
      <c r="D132" s="943"/>
      <c r="E132" s="942"/>
    </row>
    <row r="133" spans="1:5" ht="12.75" thickBot="1">
      <c r="A133" s="1026" t="s">
        <v>95</v>
      </c>
      <c r="B133" s="1084" t="s">
        <v>1255</v>
      </c>
      <c r="C133" s="942">
        <f>mo!H214</f>
        <v>25000</v>
      </c>
      <c r="D133" s="943"/>
      <c r="E133" s="942">
        <f>mo!I214</f>
        <v>0</v>
      </c>
    </row>
    <row r="134" spans="1:5" ht="24.75" thickBot="1">
      <c r="A134" s="1026" t="s">
        <v>97</v>
      </c>
      <c r="B134" s="1084" t="s">
        <v>1189</v>
      </c>
      <c r="C134" s="942">
        <f>mo!H215</f>
        <v>0</v>
      </c>
      <c r="D134" s="943"/>
      <c r="E134" s="942"/>
    </row>
    <row r="135" spans="1:5" ht="24.75" thickBot="1">
      <c r="A135" s="1020" t="s">
        <v>100</v>
      </c>
      <c r="B135" s="1084" t="s">
        <v>1190</v>
      </c>
      <c r="C135" s="942">
        <f>mo!H216</f>
        <v>25000</v>
      </c>
      <c r="D135" s="943"/>
      <c r="E135" s="942">
        <f>mo!I216</f>
        <v>0</v>
      </c>
    </row>
    <row r="136" spans="1:5" ht="12.75" thickBot="1">
      <c r="A136" s="1027" t="s">
        <v>205</v>
      </c>
      <c r="B136" s="989" t="s">
        <v>1265</v>
      </c>
      <c r="C136" s="1137">
        <f>C137</f>
        <v>135000</v>
      </c>
      <c r="D136" s="1138">
        <v>135000</v>
      </c>
      <c r="E136" s="1139">
        <f>E137</f>
        <v>29442</v>
      </c>
    </row>
    <row r="137" spans="1:5" ht="24.75" thickBot="1">
      <c r="A137" s="1028" t="s">
        <v>1266</v>
      </c>
      <c r="B137" s="995" t="s">
        <v>1193</v>
      </c>
      <c r="C137" s="967">
        <f>mo!H219</f>
        <v>135000</v>
      </c>
      <c r="D137" s="968"/>
      <c r="E137" s="967">
        <f>mo!I219</f>
        <v>29442</v>
      </c>
    </row>
    <row r="138" spans="1:5" ht="12.75" thickBot="1">
      <c r="A138" s="1027" t="s">
        <v>198</v>
      </c>
      <c r="B138" s="990" t="s">
        <v>1267</v>
      </c>
      <c r="C138" s="978">
        <f>C139</f>
        <v>0</v>
      </c>
      <c r="D138" s="979"/>
      <c r="E138" s="980">
        <f>E139</f>
        <v>0</v>
      </c>
    </row>
    <row r="139" spans="1:5" ht="12.75" thickBot="1">
      <c r="A139" s="1028" t="s">
        <v>91</v>
      </c>
      <c r="B139" s="995" t="s">
        <v>1194</v>
      </c>
      <c r="C139" s="996"/>
      <c r="D139" s="960"/>
      <c r="E139" s="996"/>
    </row>
    <row r="140" spans="1:5" ht="24.75" thickBot="1">
      <c r="A140" s="1027" t="s">
        <v>1268</v>
      </c>
      <c r="B140" s="1134" t="s">
        <v>2102</v>
      </c>
      <c r="C140" s="1145">
        <f>C141+C142+C143+C144+C145+C146+C147</f>
        <v>40000</v>
      </c>
      <c r="D140" s="1146">
        <v>40000</v>
      </c>
      <c r="E140" s="1145">
        <f>E141+E142+E143+E144+E145+E146</f>
        <v>0</v>
      </c>
    </row>
    <row r="141" spans="1:5" ht="12">
      <c r="A141" s="1028" t="s">
        <v>95</v>
      </c>
      <c r="B141" s="1128" t="s">
        <v>1198</v>
      </c>
      <c r="C141" s="942">
        <f>mo!H225</f>
        <v>0</v>
      </c>
      <c r="D141" s="950"/>
      <c r="E141" s="942"/>
    </row>
    <row r="142" spans="1:5" ht="24">
      <c r="A142" s="1020" t="s">
        <v>100</v>
      </c>
      <c r="B142" s="1128" t="s">
        <v>1242</v>
      </c>
      <c r="C142" s="942">
        <f>mo!H228</f>
        <v>0</v>
      </c>
      <c r="D142" s="950"/>
      <c r="E142" s="942">
        <f>mo!I228</f>
        <v>0</v>
      </c>
    </row>
    <row r="143" spans="1:5" ht="12">
      <c r="A143" s="1020" t="s">
        <v>91</v>
      </c>
      <c r="B143" s="1128" t="s">
        <v>1201</v>
      </c>
      <c r="C143" s="942">
        <f>mo!H233</f>
        <v>0</v>
      </c>
      <c r="D143" s="950"/>
      <c r="E143" s="942">
        <f>mo!I232</f>
        <v>0</v>
      </c>
    </row>
    <row r="144" spans="1:5" ht="12">
      <c r="A144" s="1028" t="s">
        <v>95</v>
      </c>
      <c r="B144" s="1128" t="s">
        <v>293</v>
      </c>
      <c r="C144" s="942">
        <f>mo!H234</f>
        <v>30000</v>
      </c>
      <c r="D144" s="950"/>
      <c r="E144" s="942">
        <f>mo!I234</f>
        <v>0</v>
      </c>
    </row>
    <row r="145" spans="1:5" ht="24">
      <c r="A145" s="1026" t="s">
        <v>97</v>
      </c>
      <c r="B145" s="1128" t="s">
        <v>1203</v>
      </c>
      <c r="C145" s="942">
        <f>mo!H235</f>
        <v>0</v>
      </c>
      <c r="D145" s="950"/>
      <c r="E145" s="942">
        <f>mo!I235</f>
        <v>0</v>
      </c>
    </row>
    <row r="146" spans="1:5" ht="24">
      <c r="A146" s="1020" t="s">
        <v>100</v>
      </c>
      <c r="B146" s="1128" t="s">
        <v>1204</v>
      </c>
      <c r="C146" s="942">
        <f>mo!H237</f>
        <v>0</v>
      </c>
      <c r="D146" s="950"/>
      <c r="E146" s="942">
        <f>mo!I237</f>
        <v>0</v>
      </c>
    </row>
    <row r="147" spans="1:5" ht="36.75" thickBot="1">
      <c r="A147" s="1020" t="s">
        <v>144</v>
      </c>
      <c r="B147" s="995" t="s">
        <v>2782</v>
      </c>
      <c r="C147" s="967">
        <f>mo!H236</f>
        <v>10000</v>
      </c>
      <c r="D147" s="968"/>
      <c r="E147" s="1177"/>
    </row>
    <row r="148" spans="1:5" ht="24.75" thickBot="1">
      <c r="A148" s="1027" t="s">
        <v>1205</v>
      </c>
      <c r="B148" s="1136" t="s">
        <v>1206</v>
      </c>
      <c r="C148" s="1142">
        <f>C149</f>
        <v>0</v>
      </c>
      <c r="D148" s="1143">
        <f>D149</f>
        <v>0</v>
      </c>
      <c r="E148" s="1144">
        <f>E149</f>
        <v>0</v>
      </c>
    </row>
    <row r="149" spans="1:5" ht="12.75" thickBot="1">
      <c r="A149" s="1028" t="s">
        <v>1092</v>
      </c>
      <c r="B149" s="995" t="s">
        <v>1207</v>
      </c>
      <c r="C149" s="967">
        <f>mo!H239</f>
        <v>0</v>
      </c>
      <c r="D149" s="968"/>
      <c r="E149" s="967">
        <v>0</v>
      </c>
    </row>
    <row r="150" spans="1:5" ht="12.75" thickBot="1">
      <c r="A150" s="1023" t="s">
        <v>69</v>
      </c>
      <c r="B150" s="990" t="s">
        <v>2079</v>
      </c>
      <c r="C150" s="981">
        <f>C151</f>
        <v>784200</v>
      </c>
      <c r="D150" s="982">
        <v>784200</v>
      </c>
      <c r="E150" s="983">
        <f>E151</f>
        <v>230297.09</v>
      </c>
    </row>
    <row r="151" spans="1:5" ht="12.75" thickBot="1">
      <c r="A151" s="1028" t="s">
        <v>73</v>
      </c>
      <c r="B151" s="995" t="s">
        <v>1269</v>
      </c>
      <c r="C151" s="967">
        <f>mo!H241</f>
        <v>784200</v>
      </c>
      <c r="D151" s="960">
        <v>784200</v>
      </c>
      <c r="E151" s="967">
        <f>mo!I241</f>
        <v>230297.09</v>
      </c>
    </row>
    <row r="152" spans="1:5" ht="12.75" thickBot="1">
      <c r="A152" s="1023" t="s">
        <v>1209</v>
      </c>
      <c r="B152" s="1033" t="s">
        <v>1210</v>
      </c>
      <c r="C152" s="981">
        <f>C43+C81+C88+C100+C150+C138+C136+C148+C95+C140+C130</f>
        <v>8355400</v>
      </c>
      <c r="D152" s="982">
        <f>D43+D81+D88+D100+D150+D138+D136+D148+D95+D140+D130+D143</f>
        <v>7304400</v>
      </c>
      <c r="E152" s="983">
        <f>E43+E81+E88+E100+E150+E138+E136+E148+E95+E140+E130+E80</f>
        <v>1624268.87</v>
      </c>
    </row>
    <row r="153" spans="1:5" ht="12">
      <c r="A153" s="1032"/>
      <c r="B153" s="998"/>
      <c r="C153" s="951"/>
      <c r="D153" s="940"/>
      <c r="E153" s="951"/>
    </row>
    <row r="154" spans="1:5" ht="24">
      <c r="A154" s="1051" t="s">
        <v>1211</v>
      </c>
      <c r="B154" s="1052" t="s">
        <v>1212</v>
      </c>
      <c r="C154" s="1053">
        <f>C40-C152</f>
        <v>-50000</v>
      </c>
      <c r="D154" s="1054">
        <f>D40-D152</f>
        <v>0</v>
      </c>
      <c r="E154" s="1053">
        <f>E40-E152</f>
        <v>247749.41999999993</v>
      </c>
    </row>
    <row r="155" spans="1:5" ht="36">
      <c r="A155" s="1055" t="s">
        <v>1213</v>
      </c>
      <c r="B155" s="1036" t="s">
        <v>1214</v>
      </c>
      <c r="C155" s="945"/>
      <c r="D155" s="943"/>
      <c r="E155" s="945"/>
    </row>
    <row r="156" spans="1:5" ht="24">
      <c r="A156" s="1026" t="s">
        <v>1215</v>
      </c>
      <c r="B156" s="1036" t="s">
        <v>999</v>
      </c>
      <c r="C156" s="945"/>
      <c r="D156" s="943"/>
      <c r="E156" s="945"/>
    </row>
    <row r="157" spans="1:5" ht="12">
      <c r="A157" s="1026" t="s">
        <v>1216</v>
      </c>
      <c r="B157" s="1036" t="s">
        <v>1002</v>
      </c>
      <c r="C157" s="945"/>
      <c r="D157" s="943"/>
      <c r="E157" s="945"/>
    </row>
    <row r="158" spans="1:5" ht="12">
      <c r="A158" s="1026" t="s">
        <v>1217</v>
      </c>
      <c r="B158" s="1036" t="s">
        <v>1003</v>
      </c>
      <c r="C158" s="945"/>
      <c r="D158" s="943"/>
      <c r="E158" s="945"/>
    </row>
    <row r="159" spans="1:5" ht="12">
      <c r="A159" s="1026" t="s">
        <v>1218</v>
      </c>
      <c r="B159" s="1036"/>
      <c r="C159" s="945"/>
      <c r="D159" s="943"/>
      <c r="E159" s="945"/>
    </row>
    <row r="160" spans="1:5" ht="24">
      <c r="A160" s="1037" t="s">
        <v>1219</v>
      </c>
      <c r="B160" s="1038" t="s">
        <v>1004</v>
      </c>
      <c r="C160" s="1039">
        <f>C161+C162</f>
        <v>50000</v>
      </c>
      <c r="D160" s="1040">
        <f>D161+D162</f>
        <v>0</v>
      </c>
      <c r="E160" s="1039">
        <f>E161+E162</f>
        <v>-247749.41999999993</v>
      </c>
    </row>
    <row r="161" spans="1:5" ht="24">
      <c r="A161" s="1026" t="s">
        <v>1220</v>
      </c>
      <c r="B161" s="1036" t="s">
        <v>1006</v>
      </c>
      <c r="C161" s="945">
        <f>-(C40+C156+C157)</f>
        <v>-8305400</v>
      </c>
      <c r="D161" s="943">
        <f>-(D40+D156+D157)</f>
        <v>-7304400</v>
      </c>
      <c r="E161" s="945">
        <f>-(E40+E156+E157)</f>
        <v>-1872018.29</v>
      </c>
    </row>
    <row r="162" spans="1:5" ht="24">
      <c r="A162" s="1026" t="s">
        <v>1221</v>
      </c>
      <c r="B162" s="1036" t="s">
        <v>1008</v>
      </c>
      <c r="C162" s="945">
        <f>C152-C158</f>
        <v>8355400</v>
      </c>
      <c r="D162" s="943">
        <f>D152-D158</f>
        <v>7304400</v>
      </c>
      <c r="E162" s="945">
        <f>E152-E158</f>
        <v>1624268.87</v>
      </c>
    </row>
    <row r="163" spans="1:5" ht="12">
      <c r="A163" s="1037" t="s">
        <v>1222</v>
      </c>
      <c r="B163" s="1038" t="s">
        <v>1214</v>
      </c>
      <c r="C163" s="1039">
        <f>C156+C157+C158+C160</f>
        <v>50000</v>
      </c>
      <c r="D163" s="1040">
        <f>D156+D157+D158+D160</f>
        <v>0</v>
      </c>
      <c r="E163" s="1039">
        <f>E156+E157+E158+E160</f>
        <v>-247749.41999999993</v>
      </c>
    </row>
    <row r="164" spans="1:5" ht="12">
      <c r="A164" s="2754"/>
      <c r="B164" s="2754"/>
      <c r="C164" s="2754"/>
      <c r="D164" s="2754"/>
      <c r="E164" s="2754"/>
    </row>
    <row r="165" spans="1:5" ht="12">
      <c r="A165" s="1041" t="s">
        <v>2322</v>
      </c>
      <c r="B165" s="1041"/>
      <c r="C165" s="1032"/>
      <c r="D165" s="1133"/>
      <c r="E165" s="1133"/>
    </row>
    <row r="166" spans="1:5" ht="12">
      <c r="A166" s="1919" t="s">
        <v>3439</v>
      </c>
      <c r="B166" s="1041"/>
      <c r="C166" s="1032"/>
      <c r="D166" s="1133"/>
      <c r="E166" s="1133"/>
    </row>
    <row r="167" spans="1:5" ht="12">
      <c r="A167" s="998" t="s">
        <v>2987</v>
      </c>
      <c r="B167" s="1131"/>
      <c r="C167" s="1032"/>
      <c r="D167" s="1133"/>
      <c r="E167" s="1133"/>
    </row>
    <row r="168" spans="1:5" ht="12">
      <c r="A168" s="998" t="s">
        <v>2988</v>
      </c>
      <c r="B168" s="1131">
        <v>86964.08</v>
      </c>
      <c r="C168" s="1032"/>
      <c r="D168" s="1133"/>
      <c r="E168" s="1133"/>
    </row>
    <row r="169" spans="1:5" ht="12">
      <c r="A169" s="998" t="s">
        <v>2989</v>
      </c>
      <c r="B169" s="1131">
        <v>96811.32</v>
      </c>
      <c r="C169" s="1032"/>
      <c r="D169" s="1133"/>
      <c r="E169" s="1133"/>
    </row>
    <row r="170" spans="1:5" ht="12">
      <c r="A170" s="998" t="s">
        <v>3446</v>
      </c>
      <c r="B170" s="1131">
        <v>8576.4599999999991</v>
      </c>
      <c r="C170" s="1032"/>
      <c r="D170" s="2599"/>
      <c r="E170" s="2599"/>
    </row>
    <row r="171" spans="1:5" ht="12">
      <c r="A171" s="998" t="s">
        <v>2990</v>
      </c>
      <c r="B171" s="1131">
        <f>B173-B170-B169-B168</f>
        <v>2032417.35</v>
      </c>
      <c r="C171" s="1032"/>
      <c r="D171" s="1133"/>
      <c r="E171" s="1133"/>
    </row>
    <row r="172" spans="1:5" ht="12">
      <c r="A172" s="1131" t="s">
        <v>2991</v>
      </c>
      <c r="B172" s="1131"/>
      <c r="C172" s="1032"/>
      <c r="D172" s="1133"/>
      <c r="E172" s="1133"/>
    </row>
    <row r="173" spans="1:5" ht="12">
      <c r="A173" s="1041" t="s">
        <v>2986</v>
      </c>
      <c r="B173" s="1920">
        <f>2224769.21</f>
        <v>2224769.21</v>
      </c>
      <c r="C173" s="1032"/>
      <c r="D173" s="1133"/>
      <c r="E173" s="1133"/>
    </row>
    <row r="174" spans="1:5" ht="12">
      <c r="A174" s="1133"/>
      <c r="B174" s="1133"/>
      <c r="C174" s="1133"/>
      <c r="D174" s="1133"/>
      <c r="E174" s="1133"/>
    </row>
    <row r="175" spans="1:5" ht="12">
      <c r="A175" s="998" t="s">
        <v>67</v>
      </c>
      <c r="B175" s="1043"/>
      <c r="C175" s="1044"/>
      <c r="D175" s="998" t="s">
        <v>768</v>
      </c>
      <c r="E175" s="1000"/>
    </row>
    <row r="176" spans="1:5" ht="12">
      <c r="A176" s="1000"/>
      <c r="B176" s="1000"/>
      <c r="C176" s="1000"/>
      <c r="D176" s="1000"/>
      <c r="E176" s="1000"/>
    </row>
    <row r="177" spans="1:5" ht="12">
      <c r="A177" s="998" t="s">
        <v>1223</v>
      </c>
      <c r="B177" s="1043"/>
      <c r="C177" s="1032"/>
      <c r="D177" s="998" t="s">
        <v>2876</v>
      </c>
      <c r="E177" s="1000"/>
    </row>
    <row r="178" spans="1:5" ht="12">
      <c r="A178" s="1000"/>
      <c r="B178" s="1045"/>
      <c r="C178" s="1000"/>
      <c r="D178" s="1000"/>
      <c r="E178" s="1000"/>
    </row>
    <row r="179" spans="1:5" ht="12">
      <c r="A179" s="998" t="s">
        <v>68</v>
      </c>
      <c r="B179" s="1046"/>
      <c r="C179" s="1047"/>
      <c r="D179" s="998" t="s">
        <v>769</v>
      </c>
      <c r="E179" s="1000"/>
    </row>
    <row r="180" spans="1:5" ht="12">
      <c r="A180" s="1056"/>
      <c r="B180" s="1056"/>
      <c r="C180" s="1056"/>
      <c r="D180" s="1056"/>
      <c r="E180" s="1056"/>
    </row>
  </sheetData>
  <mergeCells count="1">
    <mergeCell ref="A164:E164"/>
  </mergeCells>
  <phoneticPr fontId="0" type="noConversion"/>
  <pageMargins left="0.74803149606299213" right="0.74803149606299213" top="0.19685039370078741" bottom="0.15748031496062992" header="0.19685039370078741" footer="0.1574803149606299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Лист15" enableFormatConditionsCalculation="0">
    <tabColor indexed="24"/>
  </sheetPr>
  <dimension ref="A1:I166"/>
  <sheetViews>
    <sheetView topLeftCell="A124" workbookViewId="0">
      <selection activeCell="C155" sqref="C155"/>
    </sheetView>
  </sheetViews>
  <sheetFormatPr defaultRowHeight="11.25"/>
  <cols>
    <col min="1" max="1" width="36.33203125" bestFit="1" customWidth="1"/>
    <col min="2" max="2" width="27.33203125" customWidth="1"/>
    <col min="3" max="3" width="14" customWidth="1"/>
    <col min="4" max="4" width="16" bestFit="1" customWidth="1"/>
    <col min="5" max="5" width="15.33203125" customWidth="1"/>
  </cols>
  <sheetData>
    <row r="1" spans="1:5" ht="12">
      <c r="A1" s="998"/>
      <c r="B1" s="999" t="s">
        <v>1036</v>
      </c>
      <c r="C1" s="999"/>
      <c r="D1" s="998"/>
      <c r="E1" s="1000"/>
    </row>
    <row r="2" spans="1:5" ht="12">
      <c r="A2" s="998"/>
      <c r="B2" s="999" t="s">
        <v>1038</v>
      </c>
      <c r="C2" s="999"/>
      <c r="D2" s="998"/>
      <c r="E2" s="1000"/>
    </row>
    <row r="3" spans="1:5" ht="12">
      <c r="A3" s="998"/>
      <c r="B3" s="999" t="s">
        <v>1887</v>
      </c>
      <c r="C3" s="999"/>
      <c r="D3" s="998"/>
      <c r="E3" s="1000"/>
    </row>
    <row r="4" spans="1:5" ht="12">
      <c r="A4" s="998" t="s">
        <v>3447</v>
      </c>
      <c r="B4" s="998"/>
      <c r="C4" s="998"/>
      <c r="D4" s="998"/>
      <c r="E4" s="1000"/>
    </row>
    <row r="5" spans="1:5" ht="34.5" thickBot="1">
      <c r="A5" s="1737" t="s">
        <v>1040</v>
      </c>
      <c r="B5" s="1737" t="s">
        <v>1041</v>
      </c>
      <c r="C5" s="1737" t="s">
        <v>1042</v>
      </c>
      <c r="D5" s="1738" t="s">
        <v>1043</v>
      </c>
      <c r="E5" s="1737" t="s">
        <v>688</v>
      </c>
    </row>
    <row r="6" spans="1:5" ht="12" thickBot="1">
      <c r="A6" s="1739" t="s">
        <v>1044</v>
      </c>
      <c r="B6" s="1740" t="s">
        <v>1045</v>
      </c>
      <c r="C6" s="1741">
        <f>SUM(C7:C25)</f>
        <v>189000</v>
      </c>
      <c r="D6" s="1742">
        <f>SUM(D7:D25)</f>
        <v>189000</v>
      </c>
      <c r="E6" s="1741">
        <f>SUM(E7:E25)</f>
        <v>46321.989999999991</v>
      </c>
    </row>
    <row r="7" spans="1:5" ht="123.75">
      <c r="A7" s="1743" t="s">
        <v>1031</v>
      </c>
      <c r="B7" s="1744" t="s">
        <v>2184</v>
      </c>
      <c r="C7" s="1745">
        <f>mo!J5</f>
        <v>120000</v>
      </c>
      <c r="D7" s="1746">
        <v>120000</v>
      </c>
      <c r="E7" s="1745">
        <f>mo!K5</f>
        <v>26867.54</v>
      </c>
    </row>
    <row r="8" spans="1:5" ht="112.5">
      <c r="A8" s="1747" t="s">
        <v>1032</v>
      </c>
      <c r="B8" s="1748" t="s">
        <v>2186</v>
      </c>
      <c r="C8" s="1749"/>
      <c r="D8" s="1750"/>
      <c r="E8" s="1745"/>
    </row>
    <row r="9" spans="1:5" ht="45">
      <c r="A9" s="1747" t="s">
        <v>1033</v>
      </c>
      <c r="B9" s="1748" t="s">
        <v>2187</v>
      </c>
      <c r="C9" s="1749">
        <f>mo!H8</f>
        <v>0</v>
      </c>
      <c r="D9" s="1750"/>
      <c r="E9" s="1745">
        <f>mo!K8</f>
        <v>0</v>
      </c>
    </row>
    <row r="10" spans="1:5" ht="281.25">
      <c r="A10" s="1751" t="s">
        <v>1270</v>
      </c>
      <c r="B10" s="1748" t="s">
        <v>2188</v>
      </c>
      <c r="C10" s="1749"/>
      <c r="D10" s="1750"/>
      <c r="E10" s="1745"/>
    </row>
    <row r="11" spans="1:5" ht="45">
      <c r="A11" s="1751" t="s">
        <v>242</v>
      </c>
      <c r="B11" s="1748" t="s">
        <v>246</v>
      </c>
      <c r="C11" s="1749">
        <f>mo!J10</f>
        <v>17800</v>
      </c>
      <c r="D11" s="1750">
        <v>17800</v>
      </c>
      <c r="E11" s="1745">
        <f>mo!K10</f>
        <v>4843.42</v>
      </c>
    </row>
    <row r="12" spans="1:5" ht="67.5">
      <c r="A12" s="1751" t="s">
        <v>243</v>
      </c>
      <c r="B12" s="1748" t="s">
        <v>247</v>
      </c>
      <c r="C12" s="1749">
        <f>mo!J11</f>
        <v>500</v>
      </c>
      <c r="D12" s="1750">
        <v>500</v>
      </c>
      <c r="E12" s="1745">
        <f>mo!K11</f>
        <v>84.62</v>
      </c>
    </row>
    <row r="13" spans="1:5" ht="56.25">
      <c r="A13" s="1751" t="s">
        <v>244</v>
      </c>
      <c r="B13" s="1748" t="s">
        <v>248</v>
      </c>
      <c r="C13" s="1749">
        <f>mo!J12</f>
        <v>40200</v>
      </c>
      <c r="D13" s="1750">
        <v>40200</v>
      </c>
      <c r="E13" s="1745">
        <f>mo!K12</f>
        <v>9867.07</v>
      </c>
    </row>
    <row r="14" spans="1:5" ht="56.25">
      <c r="A14" s="1751" t="s">
        <v>245</v>
      </c>
      <c r="B14" s="1748" t="s">
        <v>249</v>
      </c>
      <c r="C14" s="1749">
        <f>mo!J13</f>
        <v>500</v>
      </c>
      <c r="D14" s="1750">
        <v>500</v>
      </c>
      <c r="E14" s="1745">
        <f>mo!K13</f>
        <v>-870.86</v>
      </c>
    </row>
    <row r="15" spans="1:5" ht="45">
      <c r="A15" s="1747" t="s">
        <v>1277</v>
      </c>
      <c r="B15" s="1748" t="s">
        <v>2195</v>
      </c>
      <c r="C15" s="1749"/>
      <c r="D15" s="1750"/>
      <c r="E15" s="1745">
        <f>mo!K14</f>
        <v>0</v>
      </c>
    </row>
    <row r="16" spans="1:5" ht="78.75">
      <c r="A16" s="1747" t="s">
        <v>1286</v>
      </c>
      <c r="B16" s="1787" t="s">
        <v>604</v>
      </c>
      <c r="C16" s="1749">
        <f>mo!J15</f>
        <v>0</v>
      </c>
      <c r="D16" s="1750"/>
      <c r="E16" s="1745">
        <f>mo!K15</f>
        <v>330.2</v>
      </c>
    </row>
    <row r="17" spans="1:5" ht="78.75">
      <c r="A17" s="1747" t="s">
        <v>1</v>
      </c>
      <c r="B17" s="1748" t="s">
        <v>2196</v>
      </c>
      <c r="C17" s="1749">
        <f>mo!J16</f>
        <v>0</v>
      </c>
      <c r="D17" s="1750"/>
      <c r="E17" s="1745">
        <f>mo!K16</f>
        <v>0</v>
      </c>
    </row>
    <row r="18" spans="1:5" ht="45">
      <c r="A18" s="1747" t="s">
        <v>2161</v>
      </c>
      <c r="B18" s="1748" t="s">
        <v>2207</v>
      </c>
      <c r="C18" s="1749">
        <f>mo!J17</f>
        <v>0</v>
      </c>
      <c r="D18" s="1750"/>
      <c r="E18" s="1745">
        <f>mo!K17</f>
        <v>0</v>
      </c>
    </row>
    <row r="19" spans="1:5" ht="101.25">
      <c r="A19" s="1747" t="s">
        <v>2124</v>
      </c>
      <c r="B19" s="1787" t="s">
        <v>2837</v>
      </c>
      <c r="C19" s="1749">
        <f>mo!J18</f>
        <v>0</v>
      </c>
      <c r="D19" s="1750">
        <v>0</v>
      </c>
      <c r="E19" s="1745">
        <f>mo!K18</f>
        <v>0</v>
      </c>
    </row>
    <row r="20" spans="1:5" ht="78.75">
      <c r="A20" s="1747" t="s">
        <v>1632</v>
      </c>
      <c r="B20" s="1787" t="s">
        <v>607</v>
      </c>
      <c r="C20" s="1749">
        <f>mo!J19</f>
        <v>0</v>
      </c>
      <c r="D20" s="1750">
        <v>0</v>
      </c>
      <c r="E20" s="1745">
        <f>mo!K19</f>
        <v>0</v>
      </c>
    </row>
    <row r="21" spans="1:5" ht="78.75">
      <c r="A21" s="1747" t="s">
        <v>2182</v>
      </c>
      <c r="B21" s="1748" t="s">
        <v>2268</v>
      </c>
      <c r="C21" s="1749"/>
      <c r="D21" s="1750"/>
      <c r="E21" s="1745"/>
    </row>
    <row r="22" spans="1:5" ht="45">
      <c r="A22" s="1752" t="s">
        <v>8</v>
      </c>
      <c r="B22" s="1753" t="s">
        <v>1945</v>
      </c>
      <c r="C22" s="1749">
        <f>mo!J22</f>
        <v>0</v>
      </c>
      <c r="D22" s="1750"/>
      <c r="E22" s="1745">
        <f>mo!K22</f>
        <v>0</v>
      </c>
    </row>
    <row r="23" spans="1:5" ht="22.5">
      <c r="A23" s="1747" t="s">
        <v>9</v>
      </c>
      <c r="B23" s="1748" t="s">
        <v>1947</v>
      </c>
      <c r="C23" s="1749">
        <f>mo!J23</f>
        <v>0</v>
      </c>
      <c r="D23" s="1750"/>
      <c r="E23" s="1745">
        <f>mo!K23</f>
        <v>0</v>
      </c>
    </row>
    <row r="24" spans="1:5">
      <c r="A24" s="1747" t="s">
        <v>2082</v>
      </c>
      <c r="B24" s="1787" t="s">
        <v>2860</v>
      </c>
      <c r="C24" s="1749">
        <f>mo!J24</f>
        <v>10000</v>
      </c>
      <c r="D24" s="1750">
        <v>10000</v>
      </c>
      <c r="E24" s="1745">
        <f>mo!K24</f>
        <v>5200</v>
      </c>
    </row>
    <row r="25" spans="1:5" ht="23.25" thickBot="1">
      <c r="A25" s="1754" t="s">
        <v>12</v>
      </c>
      <c r="B25" s="1755" t="s">
        <v>1354</v>
      </c>
      <c r="C25" s="1756">
        <f>mo!J25</f>
        <v>0</v>
      </c>
      <c r="D25" s="1757"/>
      <c r="E25" s="1745">
        <f>mo!K25</f>
        <v>0</v>
      </c>
    </row>
    <row r="26" spans="1:5" ht="12" thickBot="1">
      <c r="A26" s="1758" t="s">
        <v>48</v>
      </c>
      <c r="B26" s="1740" t="s">
        <v>1047</v>
      </c>
      <c r="C26" s="1741">
        <f>SUM(C27:C40)</f>
        <v>7375500</v>
      </c>
      <c r="D26" s="1742">
        <f>SUM(D27:D40)</f>
        <v>7375500</v>
      </c>
      <c r="E26" s="1759">
        <f>SUM(E27:E40)</f>
        <v>1845000</v>
      </c>
    </row>
    <row r="27" spans="1:5" ht="45">
      <c r="A27" s="1760" t="s">
        <v>1078</v>
      </c>
      <c r="B27" s="1753" t="s">
        <v>1079</v>
      </c>
      <c r="C27" s="1745">
        <f>mo!J30</f>
        <v>0</v>
      </c>
      <c r="D27" s="1746"/>
      <c r="E27" s="1745">
        <f>mo!K30</f>
        <v>0</v>
      </c>
    </row>
    <row r="28" spans="1:5" ht="33.75">
      <c r="A28" s="1761" t="s">
        <v>2800</v>
      </c>
      <c r="B28" s="1753" t="s">
        <v>1356</v>
      </c>
      <c r="C28" s="1745">
        <f>mo!J29</f>
        <v>0</v>
      </c>
      <c r="D28" s="1746"/>
      <c r="E28" s="1745">
        <f>mo!K29</f>
        <v>0</v>
      </c>
    </row>
    <row r="29" spans="1:5" ht="33.75">
      <c r="A29" s="1761" t="s">
        <v>1048</v>
      </c>
      <c r="B29" s="1786" t="s">
        <v>2864</v>
      </c>
      <c r="C29" s="1749">
        <f>mo!J28</f>
        <v>7374800</v>
      </c>
      <c r="D29" s="1750">
        <v>7374800</v>
      </c>
      <c r="E29" s="1749">
        <f>mo!K28</f>
        <v>1845000</v>
      </c>
    </row>
    <row r="30" spans="1:5" ht="56.25">
      <c r="A30" s="1762" t="s">
        <v>1230</v>
      </c>
      <c r="B30" s="1763" t="s">
        <v>1231</v>
      </c>
      <c r="C30" s="1749"/>
      <c r="D30" s="1750"/>
      <c r="E30" s="1749"/>
    </row>
    <row r="31" spans="1:5" ht="120">
      <c r="A31" s="1014" t="s">
        <v>2423</v>
      </c>
      <c r="B31" s="944" t="s">
        <v>2862</v>
      </c>
      <c r="C31" s="942">
        <f>mo!J34</f>
        <v>0</v>
      </c>
      <c r="D31" s="948"/>
      <c r="E31" s="942">
        <f>mo!K34</f>
        <v>0</v>
      </c>
    </row>
    <row r="32" spans="1:5" ht="84">
      <c r="A32" s="1014" t="s">
        <v>1077</v>
      </c>
      <c r="B32" s="952" t="s">
        <v>2080</v>
      </c>
      <c r="C32" s="942">
        <f>mo!J35</f>
        <v>0</v>
      </c>
      <c r="D32" s="955"/>
      <c r="E32" s="942">
        <f>mo!K35</f>
        <v>0</v>
      </c>
    </row>
    <row r="33" spans="1:5" ht="24">
      <c r="A33" s="1014" t="s">
        <v>1260</v>
      </c>
      <c r="B33" s="952" t="s">
        <v>2080</v>
      </c>
      <c r="C33" s="942">
        <f>mo!J33</f>
        <v>0</v>
      </c>
      <c r="D33" s="955"/>
      <c r="E33" s="942">
        <f>mo!K33</f>
        <v>0</v>
      </c>
    </row>
    <row r="34" spans="1:5" ht="24">
      <c r="A34" s="1012" t="s">
        <v>357</v>
      </c>
      <c r="B34" s="1013" t="s">
        <v>2865</v>
      </c>
      <c r="C34" s="942">
        <f>mo!J39</f>
        <v>700</v>
      </c>
      <c r="D34" s="957">
        <v>700</v>
      </c>
      <c r="E34" s="942">
        <f>mo!K39</f>
        <v>0</v>
      </c>
    </row>
    <row r="35" spans="1:5" ht="12">
      <c r="A35" s="1016"/>
      <c r="B35" s="959" t="s">
        <v>3013</v>
      </c>
      <c r="C35" s="947"/>
      <c r="D35" s="955"/>
      <c r="E35" s="947"/>
    </row>
    <row r="36" spans="1:5" ht="120">
      <c r="A36" s="1010" t="s">
        <v>1261</v>
      </c>
      <c r="B36" s="1015" t="s">
        <v>2868</v>
      </c>
      <c r="C36" s="947">
        <f>mo!J41</f>
        <v>0</v>
      </c>
      <c r="D36" s="955">
        <v>0</v>
      </c>
      <c r="E36" s="947">
        <f>mo!K41</f>
        <v>0</v>
      </c>
    </row>
    <row r="37" spans="1:5" ht="48">
      <c r="A37" s="1010" t="s">
        <v>1228</v>
      </c>
      <c r="B37" s="1015" t="s">
        <v>1053</v>
      </c>
      <c r="C37" s="947">
        <f>mo!J36</f>
        <v>0</v>
      </c>
      <c r="D37" s="955"/>
      <c r="E37" s="947">
        <f>mo!K36</f>
        <v>0</v>
      </c>
    </row>
    <row r="38" spans="1:5" ht="36">
      <c r="A38" s="1010" t="s">
        <v>1145</v>
      </c>
      <c r="B38" s="1015" t="s">
        <v>1053</v>
      </c>
      <c r="C38" s="947">
        <f>mo!J37</f>
        <v>0</v>
      </c>
      <c r="D38" s="955"/>
      <c r="E38" s="947">
        <f>mo!K37</f>
        <v>0</v>
      </c>
    </row>
    <row r="39" spans="1:5" ht="48">
      <c r="A39" s="1010" t="s">
        <v>1076</v>
      </c>
      <c r="B39" s="1015" t="s">
        <v>2424</v>
      </c>
      <c r="C39" s="947"/>
      <c r="D39" s="955"/>
      <c r="E39" s="947"/>
    </row>
    <row r="40" spans="1:5" ht="48">
      <c r="A40" s="1016" t="s">
        <v>1584</v>
      </c>
      <c r="B40" s="959" t="s">
        <v>2081</v>
      </c>
      <c r="C40" s="947">
        <f>mo!J38</f>
        <v>0</v>
      </c>
      <c r="D40" s="948"/>
      <c r="E40" s="947">
        <f>mo!K38</f>
        <v>0</v>
      </c>
    </row>
    <row r="41" spans="1:5" ht="24.75" thickBot="1">
      <c r="A41" s="1432" t="s">
        <v>12</v>
      </c>
      <c r="B41" s="1013" t="s">
        <v>111</v>
      </c>
      <c r="C41" s="967"/>
      <c r="D41" s="960"/>
      <c r="E41" s="1177">
        <f>mo!K42</f>
        <v>0</v>
      </c>
    </row>
    <row r="42" spans="1:5" ht="12.75" thickBot="1">
      <c r="A42" s="1017" t="s">
        <v>1080</v>
      </c>
      <c r="B42" s="1018"/>
      <c r="C42" s="934">
        <f>C6+C26</f>
        <v>7564500</v>
      </c>
      <c r="D42" s="935">
        <f>D6+D26</f>
        <v>7564500</v>
      </c>
      <c r="E42" s="936">
        <f>E6+E26+E41</f>
        <v>1891321.99</v>
      </c>
    </row>
    <row r="43" spans="1:5" ht="12">
      <c r="A43" s="1000" t="s">
        <v>1081</v>
      </c>
      <c r="B43" s="1000"/>
      <c r="C43" s="964"/>
      <c r="D43" s="1019"/>
      <c r="E43" s="964"/>
    </row>
    <row r="44" spans="1:5" ht="36.75" thickBot="1">
      <c r="A44" s="1020" t="s">
        <v>74</v>
      </c>
      <c r="B44" s="1020" t="s">
        <v>216</v>
      </c>
      <c r="C44" s="1021" t="s">
        <v>1042</v>
      </c>
      <c r="D44" s="1022" t="s">
        <v>1082</v>
      </c>
      <c r="E44" s="1021" t="s">
        <v>688</v>
      </c>
    </row>
    <row r="45" spans="1:5" ht="12.75" thickBot="1">
      <c r="A45" s="1023" t="s">
        <v>75</v>
      </c>
      <c r="B45" s="990" t="s">
        <v>1083</v>
      </c>
      <c r="C45" s="934">
        <f>SUM(C46:C58)</f>
        <v>3078700</v>
      </c>
      <c r="D45" s="935">
        <f>D59+D64+D77+D79+D63</f>
        <v>3078000</v>
      </c>
      <c r="E45" s="1024">
        <f>SUM(E46:E58)</f>
        <v>736769.84</v>
      </c>
    </row>
    <row r="46" spans="1:5" ht="12">
      <c r="A46" s="1025" t="s">
        <v>77</v>
      </c>
      <c r="B46" s="997" t="s">
        <v>1084</v>
      </c>
      <c r="C46" s="939">
        <f>C60+C65</f>
        <v>1700000</v>
      </c>
      <c r="D46" s="940"/>
      <c r="E46" s="939">
        <f>E60+E65</f>
        <v>328283.32</v>
      </c>
    </row>
    <row r="47" spans="1:5" ht="12">
      <c r="A47" s="1026" t="s">
        <v>81</v>
      </c>
      <c r="B47" s="993" t="s">
        <v>1086</v>
      </c>
      <c r="C47" s="942">
        <f>C62+C66</f>
        <v>581000</v>
      </c>
      <c r="D47" s="943"/>
      <c r="E47" s="942">
        <f>E62+E66</f>
        <v>46755.399999999994</v>
      </c>
    </row>
    <row r="48" spans="1:5" ht="12">
      <c r="A48" s="1026" t="s">
        <v>79</v>
      </c>
      <c r="B48" s="993" t="s">
        <v>1085</v>
      </c>
      <c r="C48" s="942">
        <f>C61+C67</f>
        <v>300000</v>
      </c>
      <c r="D48" s="943"/>
      <c r="E48" s="942">
        <f>E61+E67</f>
        <v>112920</v>
      </c>
    </row>
    <row r="49" spans="1:5" ht="12">
      <c r="A49" s="1026" t="s">
        <v>83</v>
      </c>
      <c r="B49" s="993" t="s">
        <v>1087</v>
      </c>
      <c r="C49" s="942">
        <f>C68</f>
        <v>52218.62</v>
      </c>
      <c r="D49" s="943"/>
      <c r="E49" s="942">
        <f>E68</f>
        <v>52218.62</v>
      </c>
    </row>
    <row r="50" spans="1:5" ht="12">
      <c r="A50" s="1026" t="s">
        <v>85</v>
      </c>
      <c r="B50" s="993" t="s">
        <v>1088</v>
      </c>
      <c r="C50" s="942">
        <f>C69</f>
        <v>53628.21</v>
      </c>
      <c r="D50" s="943"/>
      <c r="E50" s="942">
        <f>E69</f>
        <v>0</v>
      </c>
    </row>
    <row r="51" spans="1:5" ht="12">
      <c r="A51" s="1026" t="s">
        <v>87</v>
      </c>
      <c r="B51" s="993" t="s">
        <v>1089</v>
      </c>
      <c r="C51" s="942">
        <f>C70</f>
        <v>254700.67</v>
      </c>
      <c r="D51" s="943"/>
      <c r="E51" s="942">
        <f>E70</f>
        <v>92455.93</v>
      </c>
    </row>
    <row r="52" spans="1:5" ht="12">
      <c r="A52" s="1026" t="s">
        <v>89</v>
      </c>
      <c r="B52" s="993" t="s">
        <v>1090</v>
      </c>
      <c r="C52" s="942">
        <f>C71</f>
        <v>0</v>
      </c>
      <c r="D52" s="943"/>
      <c r="E52" s="942">
        <f>E71</f>
        <v>0</v>
      </c>
    </row>
    <row r="53" spans="1:5" ht="12">
      <c r="A53" s="1026" t="s">
        <v>91</v>
      </c>
      <c r="B53" s="993" t="s">
        <v>1091</v>
      </c>
      <c r="C53" s="942">
        <f>C72</f>
        <v>37987.5</v>
      </c>
      <c r="D53" s="943"/>
      <c r="E53" s="942">
        <f>E72</f>
        <v>27205.19</v>
      </c>
    </row>
    <row r="54" spans="1:5" ht="12">
      <c r="A54" s="1026" t="s">
        <v>1092</v>
      </c>
      <c r="B54" s="993" t="s">
        <v>1093</v>
      </c>
      <c r="C54" s="942">
        <f>C134</f>
        <v>0</v>
      </c>
      <c r="D54" s="943"/>
      <c r="E54" s="942">
        <f>E134</f>
        <v>0</v>
      </c>
    </row>
    <row r="55" spans="1:5" ht="12">
      <c r="A55" s="1026" t="s">
        <v>1094</v>
      </c>
      <c r="B55" s="993" t="s">
        <v>1095</v>
      </c>
      <c r="C55" s="942">
        <f>C73</f>
        <v>0</v>
      </c>
      <c r="D55" s="943"/>
      <c r="E55" s="942">
        <f>E73</f>
        <v>0</v>
      </c>
    </row>
    <row r="56" spans="1:5" ht="12">
      <c r="A56" s="1026" t="s">
        <v>95</v>
      </c>
      <c r="B56" s="993" t="s">
        <v>1096</v>
      </c>
      <c r="C56" s="942">
        <f>C74+C80+C78</f>
        <v>23000</v>
      </c>
      <c r="D56" s="943"/>
      <c r="E56" s="942">
        <f>E74+E80+E78</f>
        <v>1466.38</v>
      </c>
    </row>
    <row r="57" spans="1:5" ht="24">
      <c r="A57" s="1026" t="s">
        <v>97</v>
      </c>
      <c r="B57" s="993" t="s">
        <v>1097</v>
      </c>
      <c r="C57" s="942">
        <f t="shared" ref="C57:E58" si="0">C75</f>
        <v>0</v>
      </c>
      <c r="D57" s="943"/>
      <c r="E57" s="942">
        <f t="shared" si="0"/>
        <v>0</v>
      </c>
    </row>
    <row r="58" spans="1:5" ht="24.75" thickBot="1">
      <c r="A58" s="1020" t="s">
        <v>100</v>
      </c>
      <c r="B58" s="994" t="s">
        <v>1098</v>
      </c>
      <c r="C58" s="947">
        <f>C76+C81</f>
        <v>76165</v>
      </c>
      <c r="D58" s="948"/>
      <c r="E58" s="947">
        <f t="shared" si="0"/>
        <v>75465</v>
      </c>
    </row>
    <row r="59" spans="1:5" ht="36.75" thickBot="1">
      <c r="A59" s="1023" t="s">
        <v>1099</v>
      </c>
      <c r="B59" s="990" t="s">
        <v>1100</v>
      </c>
      <c r="C59" s="934">
        <f>SUM(C60:C62)</f>
        <v>718000</v>
      </c>
      <c r="D59" s="935">
        <v>718000</v>
      </c>
      <c r="E59" s="936">
        <f>SUM(E60:E62)</f>
        <v>111075.87</v>
      </c>
    </row>
    <row r="60" spans="1:5" ht="12">
      <c r="A60" s="1025" t="s">
        <v>77</v>
      </c>
      <c r="B60" s="997" t="s">
        <v>1101</v>
      </c>
      <c r="C60" s="939">
        <f>mo!J71</f>
        <v>500000</v>
      </c>
      <c r="D60" s="965"/>
      <c r="E60" s="939">
        <f>mo!K71</f>
        <v>84232.34</v>
      </c>
    </row>
    <row r="61" spans="1:5" ht="12">
      <c r="A61" s="1026" t="s">
        <v>79</v>
      </c>
      <c r="B61" s="993" t="s">
        <v>1102</v>
      </c>
      <c r="C61" s="942">
        <f>mo!J72</f>
        <v>0</v>
      </c>
      <c r="D61" s="950"/>
      <c r="E61" s="942">
        <f>mo!K72</f>
        <v>0</v>
      </c>
    </row>
    <row r="62" spans="1:5" ht="12">
      <c r="A62" s="1020" t="s">
        <v>81</v>
      </c>
      <c r="B62" s="994" t="s">
        <v>1103</v>
      </c>
      <c r="C62" s="947">
        <f>mo!J73</f>
        <v>218000</v>
      </c>
      <c r="D62" s="966"/>
      <c r="E62" s="947">
        <f>mo!K73</f>
        <v>26843.53</v>
      </c>
    </row>
    <row r="63" spans="1:5" ht="36">
      <c r="A63" s="1051" t="s">
        <v>1232</v>
      </c>
      <c r="B63" s="1465" t="s">
        <v>1233</v>
      </c>
      <c r="C63" s="942">
        <f>mo!J74</f>
        <v>0</v>
      </c>
      <c r="D63" s="943">
        <v>0</v>
      </c>
      <c r="E63" s="942"/>
    </row>
    <row r="64" spans="1:5" ht="48.75" thickBot="1">
      <c r="A64" s="1135" t="s">
        <v>1109</v>
      </c>
      <c r="B64" s="1136" t="s">
        <v>1110</v>
      </c>
      <c r="C64" s="1462">
        <f>SUM(C65:C76)</f>
        <v>2357000</v>
      </c>
      <c r="D64" s="1463">
        <v>2357000</v>
      </c>
      <c r="E64" s="1464">
        <f>SUM(E65:E76)</f>
        <v>625693.97</v>
      </c>
    </row>
    <row r="65" spans="1:5" ht="12">
      <c r="A65" s="1025" t="s">
        <v>77</v>
      </c>
      <c r="B65" s="997" t="s">
        <v>1111</v>
      </c>
      <c r="C65" s="939">
        <f>mo!J87</f>
        <v>1200000</v>
      </c>
      <c r="D65" s="940"/>
      <c r="E65" s="939">
        <f>mo!K87</f>
        <v>244050.98</v>
      </c>
    </row>
    <row r="66" spans="1:5" ht="12">
      <c r="A66" s="1026" t="s">
        <v>81</v>
      </c>
      <c r="B66" s="993" t="s">
        <v>1113</v>
      </c>
      <c r="C66" s="942">
        <f>mo!J88</f>
        <v>363000</v>
      </c>
      <c r="D66" s="943"/>
      <c r="E66" s="939">
        <f>mo!K88</f>
        <v>19911.87</v>
      </c>
    </row>
    <row r="67" spans="1:5" ht="12">
      <c r="A67" s="1026" t="s">
        <v>79</v>
      </c>
      <c r="B67" s="993" t="s">
        <v>1112</v>
      </c>
      <c r="C67" s="942">
        <f>mo!J89</f>
        <v>300000</v>
      </c>
      <c r="D67" s="943"/>
      <c r="E67" s="939">
        <f>mo!K89</f>
        <v>112920</v>
      </c>
    </row>
    <row r="68" spans="1:5" ht="12">
      <c r="A68" s="1026" t="s">
        <v>83</v>
      </c>
      <c r="B68" s="993" t="s">
        <v>1114</v>
      </c>
      <c r="C68" s="942">
        <f>mo!J95+mo!J100</f>
        <v>52218.62</v>
      </c>
      <c r="D68" s="943"/>
      <c r="E68" s="939">
        <f>mo!K95</f>
        <v>52218.62</v>
      </c>
    </row>
    <row r="69" spans="1:5" ht="12">
      <c r="A69" s="1026" t="s">
        <v>85</v>
      </c>
      <c r="B69" s="993" t="s">
        <v>1115</v>
      </c>
      <c r="C69" s="942">
        <f>mo!J101</f>
        <v>53628.21</v>
      </c>
      <c r="D69" s="943"/>
      <c r="E69" s="939">
        <f>mo!K96</f>
        <v>0</v>
      </c>
    </row>
    <row r="70" spans="1:5" ht="12">
      <c r="A70" s="1026" t="s">
        <v>87</v>
      </c>
      <c r="B70" s="993" t="s">
        <v>1116</v>
      </c>
      <c r="C70" s="942">
        <f>mo!J102</f>
        <v>254700.67</v>
      </c>
      <c r="D70" s="943"/>
      <c r="E70" s="939">
        <f>mo!K102</f>
        <v>92455.93</v>
      </c>
    </row>
    <row r="71" spans="1:5" ht="12">
      <c r="A71" s="1026" t="s">
        <v>89</v>
      </c>
      <c r="B71" s="993" t="s">
        <v>1117</v>
      </c>
      <c r="C71" s="942">
        <f>mo!J96+mo!J103</f>
        <v>0</v>
      </c>
      <c r="D71" s="943"/>
      <c r="E71" s="942">
        <f>mo!K99</f>
        <v>0</v>
      </c>
    </row>
    <row r="72" spans="1:5" ht="12">
      <c r="A72" s="1026" t="s">
        <v>91</v>
      </c>
      <c r="B72" s="993" t="s">
        <v>1118</v>
      </c>
      <c r="C72" s="942">
        <f>mo!J97+mo!J104</f>
        <v>37987.5</v>
      </c>
      <c r="D72" s="943"/>
      <c r="E72" s="942">
        <f>mo!K97+mo!K104</f>
        <v>27205.19</v>
      </c>
    </row>
    <row r="73" spans="1:5" ht="12">
      <c r="A73" s="1026" t="s">
        <v>1094</v>
      </c>
      <c r="B73" s="993" t="s">
        <v>1119</v>
      </c>
      <c r="C73" s="942"/>
      <c r="D73" s="943"/>
      <c r="E73" s="942"/>
    </row>
    <row r="74" spans="1:5" ht="12">
      <c r="A74" s="1026" t="s">
        <v>95</v>
      </c>
      <c r="B74" s="993" t="s">
        <v>1120</v>
      </c>
      <c r="C74" s="942">
        <f>mo!J105+mo!J108+mo!J109</f>
        <v>20000</v>
      </c>
      <c r="D74" s="943"/>
      <c r="E74" s="942">
        <f>mo!K109+mo!K108+mo!K105</f>
        <v>1466.38</v>
      </c>
    </row>
    <row r="75" spans="1:5" ht="24">
      <c r="A75" s="1026" t="s">
        <v>97</v>
      </c>
      <c r="B75" s="993" t="s">
        <v>1121</v>
      </c>
      <c r="C75" s="942">
        <f>mo!J98+mo!J106</f>
        <v>0</v>
      </c>
      <c r="D75" s="943"/>
      <c r="E75" s="942">
        <f>mo!K106+mo!K98</f>
        <v>0</v>
      </c>
    </row>
    <row r="76" spans="1:5" ht="24.75" thickBot="1">
      <c r="A76" s="1020" t="s">
        <v>100</v>
      </c>
      <c r="B76" s="994" t="s">
        <v>1122</v>
      </c>
      <c r="C76" s="947">
        <f>mo!J99+mo!J107</f>
        <v>75465</v>
      </c>
      <c r="D76" s="948"/>
      <c r="E76" s="947">
        <f>mo!K107+mo!K99</f>
        <v>75465</v>
      </c>
    </row>
    <row r="77" spans="1:5" ht="12.75" thickBot="1">
      <c r="A77" s="1027" t="s">
        <v>1123</v>
      </c>
      <c r="B77" s="989" t="s">
        <v>1124</v>
      </c>
      <c r="C77" s="971">
        <f>C78</f>
        <v>0</v>
      </c>
      <c r="D77" s="972"/>
      <c r="E77" s="973">
        <f>E78</f>
        <v>0</v>
      </c>
    </row>
    <row r="78" spans="1:5" ht="12.75" thickBot="1">
      <c r="A78" s="1028" t="s">
        <v>95</v>
      </c>
      <c r="B78" s="995" t="s">
        <v>1125</v>
      </c>
      <c r="C78" s="967">
        <f>mo!J112</f>
        <v>0</v>
      </c>
      <c r="D78" s="968"/>
      <c r="E78" s="967">
        <f>mo!K112</f>
        <v>0</v>
      </c>
    </row>
    <row r="79" spans="1:5" ht="12.75" thickBot="1">
      <c r="A79" s="1027" t="s">
        <v>128</v>
      </c>
      <c r="B79" s="989" t="s">
        <v>1126</v>
      </c>
      <c r="C79" s="978">
        <f>C80</f>
        <v>3000</v>
      </c>
      <c r="D79" s="979">
        <v>3000</v>
      </c>
      <c r="E79" s="980">
        <f>E80</f>
        <v>0</v>
      </c>
    </row>
    <row r="80" spans="1:5" ht="12">
      <c r="A80" s="1028" t="s">
        <v>95</v>
      </c>
      <c r="B80" s="995" t="s">
        <v>1127</v>
      </c>
      <c r="C80" s="967">
        <f>mo!J114</f>
        <v>3000</v>
      </c>
      <c r="D80" s="968"/>
      <c r="E80" s="967">
        <f>mo!K114</f>
        <v>0</v>
      </c>
    </row>
    <row r="81" spans="1:5" ht="12">
      <c r="A81" s="1037" t="s">
        <v>365</v>
      </c>
      <c r="B81" s="995" t="s">
        <v>364</v>
      </c>
      <c r="C81" s="945">
        <f>mo!J115</f>
        <v>700</v>
      </c>
      <c r="D81" s="943">
        <v>700</v>
      </c>
      <c r="E81" s="945"/>
    </row>
    <row r="82" spans="1:5" ht="12.75" thickBot="1">
      <c r="A82" s="1135" t="s">
        <v>1128</v>
      </c>
      <c r="B82" s="1136" t="s">
        <v>1129</v>
      </c>
      <c r="C82" s="1137">
        <f>SUM(C83:C88)</f>
        <v>0</v>
      </c>
      <c r="D82" s="1138"/>
      <c r="E82" s="1139">
        <f>SUM(E83:E88)</f>
        <v>0</v>
      </c>
    </row>
    <row r="83" spans="1:5" ht="24">
      <c r="A83" s="1025" t="s">
        <v>1130</v>
      </c>
      <c r="B83" s="997" t="s">
        <v>1131</v>
      </c>
      <c r="C83" s="939">
        <f>mo!J118</f>
        <v>0</v>
      </c>
      <c r="D83" s="965"/>
      <c r="E83" s="939">
        <f>mo!K118</f>
        <v>0</v>
      </c>
    </row>
    <row r="84" spans="1:5" ht="12">
      <c r="A84" s="1026" t="s">
        <v>83</v>
      </c>
      <c r="B84" s="993" t="s">
        <v>1135</v>
      </c>
      <c r="C84" s="942">
        <f>mo!J123</f>
        <v>0</v>
      </c>
      <c r="D84" s="950"/>
      <c r="E84" s="942"/>
    </row>
    <row r="85" spans="1:5" ht="12">
      <c r="A85" s="1026" t="s">
        <v>1133</v>
      </c>
      <c r="B85" s="993" t="s">
        <v>1134</v>
      </c>
      <c r="C85" s="942">
        <f>mo!J119</f>
        <v>0</v>
      </c>
      <c r="D85" s="950"/>
      <c r="E85" s="942">
        <f>mo!K119</f>
        <v>0</v>
      </c>
    </row>
    <row r="86" spans="1:5" ht="12">
      <c r="A86" s="1020"/>
      <c r="B86" s="993" t="s">
        <v>289</v>
      </c>
      <c r="C86" s="942">
        <f>mo!J127</f>
        <v>0</v>
      </c>
      <c r="D86" s="966"/>
      <c r="E86" s="947"/>
    </row>
    <row r="87" spans="1:5" ht="24">
      <c r="A87" s="1026" t="s">
        <v>97</v>
      </c>
      <c r="B87" s="994" t="s">
        <v>1136</v>
      </c>
      <c r="C87" s="942"/>
      <c r="D87" s="966"/>
      <c r="E87" s="947"/>
    </row>
    <row r="88" spans="1:5" ht="24.75" thickBot="1">
      <c r="A88" s="1020" t="s">
        <v>100</v>
      </c>
      <c r="B88" s="994" t="s">
        <v>1137</v>
      </c>
      <c r="C88" s="942">
        <f>mo!J128</f>
        <v>0</v>
      </c>
      <c r="D88" s="966"/>
      <c r="E88" s="947">
        <f>mo!K128</f>
        <v>0</v>
      </c>
    </row>
    <row r="89" spans="1:5" ht="12">
      <c r="A89" s="1123" t="s">
        <v>1138</v>
      </c>
      <c r="B89" s="1134" t="s">
        <v>1236</v>
      </c>
      <c r="C89" s="1125">
        <f>C91+C94+C93+C90</f>
        <v>200000</v>
      </c>
      <c r="D89" s="1126">
        <v>200000</v>
      </c>
      <c r="E89" s="1127">
        <f>E90+E91+E92+E93+E94</f>
        <v>0</v>
      </c>
    </row>
    <row r="90" spans="1:5" ht="12">
      <c r="A90" s="1781" t="s">
        <v>85</v>
      </c>
      <c r="B90" s="1501" t="s">
        <v>2230</v>
      </c>
      <c r="C90" s="1785">
        <f>mo!J132</f>
        <v>0</v>
      </c>
      <c r="D90" s="1105"/>
      <c r="E90" s="1782">
        <f>mo!K132</f>
        <v>0</v>
      </c>
    </row>
    <row r="91" spans="1:5" ht="12">
      <c r="A91" s="1026" t="s">
        <v>1138</v>
      </c>
      <c r="B91" s="1128" t="s">
        <v>1140</v>
      </c>
      <c r="C91" s="942">
        <f>mo!J137</f>
        <v>100000</v>
      </c>
      <c r="D91" s="950"/>
      <c r="E91" s="942">
        <f>mo!K137</f>
        <v>0</v>
      </c>
    </row>
    <row r="92" spans="1:5" ht="12">
      <c r="A92" s="1026" t="s">
        <v>1138</v>
      </c>
      <c r="B92" s="1128" t="s">
        <v>1165</v>
      </c>
      <c r="C92" s="942">
        <f>mo!J139</f>
        <v>0</v>
      </c>
      <c r="D92" s="950"/>
      <c r="E92" s="942">
        <f>mo!K139</f>
        <v>0</v>
      </c>
    </row>
    <row r="93" spans="1:5" ht="24">
      <c r="A93" s="1026" t="s">
        <v>97</v>
      </c>
      <c r="B93" s="1128" t="s">
        <v>669</v>
      </c>
      <c r="C93" s="942">
        <f>mo!J138</f>
        <v>0</v>
      </c>
      <c r="D93" s="950"/>
      <c r="E93" s="942">
        <f>mo!K138</f>
        <v>0</v>
      </c>
    </row>
    <row r="94" spans="1:5" ht="12">
      <c r="A94" s="1026"/>
      <c r="B94" s="1128" t="s">
        <v>1250</v>
      </c>
      <c r="C94" s="942">
        <f>mo!J149</f>
        <v>100000</v>
      </c>
      <c r="D94" s="950"/>
      <c r="E94" s="942">
        <f>mo!K152</f>
        <v>0</v>
      </c>
    </row>
    <row r="95" spans="1:5" ht="12.75" thickBot="1">
      <c r="A95" s="1135" t="s">
        <v>666</v>
      </c>
      <c r="B95" s="1136" t="s">
        <v>1239</v>
      </c>
      <c r="C95" s="1137">
        <f>SUM(C96:C100)</f>
        <v>0</v>
      </c>
      <c r="D95" s="1138"/>
      <c r="E95" s="1139">
        <f>SUM(E96:E100)</f>
        <v>0</v>
      </c>
    </row>
    <row r="96" spans="1:5" ht="12">
      <c r="A96" s="1025" t="s">
        <v>1166</v>
      </c>
      <c r="B96" s="997" t="s">
        <v>1167</v>
      </c>
      <c r="C96" s="951"/>
      <c r="D96" s="940"/>
      <c r="E96" s="951"/>
    </row>
    <row r="97" spans="1:9" ht="12">
      <c r="A97" s="1026" t="s">
        <v>89</v>
      </c>
      <c r="B97" s="997" t="s">
        <v>2771</v>
      </c>
      <c r="C97" s="951">
        <f>mo!J158</f>
        <v>0</v>
      </c>
      <c r="D97" s="940"/>
      <c r="E97" s="951"/>
    </row>
    <row r="98" spans="1:9" ht="24">
      <c r="A98" s="1026" t="s">
        <v>100</v>
      </c>
      <c r="B98" s="993" t="s">
        <v>290</v>
      </c>
      <c r="C98" s="942">
        <f>mo!J159</f>
        <v>0</v>
      </c>
      <c r="D98" s="950"/>
      <c r="E98" s="942">
        <f>mo!K160</f>
        <v>0</v>
      </c>
    </row>
    <row r="99" spans="1:9" ht="48">
      <c r="A99" s="1026" t="s">
        <v>292</v>
      </c>
      <c r="B99" s="993" t="s">
        <v>667</v>
      </c>
      <c r="C99" s="947">
        <f>mo!J160</f>
        <v>0</v>
      </c>
      <c r="D99" s="966"/>
      <c r="E99" s="947"/>
    </row>
    <row r="100" spans="1:9" ht="12.75" thickBot="1">
      <c r="A100" s="1020" t="s">
        <v>91</v>
      </c>
      <c r="B100" s="994" t="s">
        <v>1172</v>
      </c>
      <c r="C100" s="947">
        <f>mo!J165</f>
        <v>0</v>
      </c>
      <c r="D100" s="966"/>
      <c r="E100" s="947">
        <f>mo!K166</f>
        <v>0</v>
      </c>
    </row>
    <row r="101" spans="1:9" ht="12.75" thickBot="1">
      <c r="A101" s="1023" t="s">
        <v>142</v>
      </c>
      <c r="B101" s="990" t="s">
        <v>1173</v>
      </c>
      <c r="C101" s="981">
        <f>C109+C102+C116</f>
        <v>2232000</v>
      </c>
      <c r="D101" s="981">
        <v>2232000</v>
      </c>
      <c r="E101" s="983">
        <f>E102+E109+E116</f>
        <v>0</v>
      </c>
    </row>
    <row r="102" spans="1:9" ht="12">
      <c r="A102" s="1140" t="s">
        <v>2034</v>
      </c>
      <c r="B102" s="1124" t="s">
        <v>2425</v>
      </c>
      <c r="C102" s="1125">
        <f>C105+C104+C106+C107+C108+C103</f>
        <v>2232000</v>
      </c>
      <c r="D102" s="1125">
        <v>0</v>
      </c>
      <c r="E102" s="1127">
        <f>E103+E104+E105+E106+E107+E108</f>
        <v>0</v>
      </c>
    </row>
    <row r="103" spans="1:9" ht="12">
      <c r="A103" s="1783" t="s">
        <v>87</v>
      </c>
      <c r="B103" s="1104" t="s">
        <v>2825</v>
      </c>
      <c r="C103" s="1785">
        <f>mo!J173</f>
        <v>0</v>
      </c>
      <c r="D103" s="1425"/>
      <c r="E103" s="1782">
        <f>mo!K173</f>
        <v>0</v>
      </c>
    </row>
    <row r="104" spans="1:9" ht="12">
      <c r="A104" s="1026" t="s">
        <v>85</v>
      </c>
      <c r="B104" s="1128" t="s">
        <v>106</v>
      </c>
      <c r="C104" s="1065">
        <f>mo!J172</f>
        <v>0</v>
      </c>
      <c r="D104" s="1066"/>
      <c r="E104" s="1065"/>
    </row>
    <row r="105" spans="1:9" ht="12">
      <c r="A105" s="1026" t="s">
        <v>89</v>
      </c>
      <c r="B105" s="1128" t="s">
        <v>1175</v>
      </c>
      <c r="C105" s="1065">
        <f>mo!J174</f>
        <v>2232000</v>
      </c>
      <c r="D105" s="1066"/>
      <c r="E105" s="1065">
        <f>mo!K174</f>
        <v>0</v>
      </c>
    </row>
    <row r="106" spans="1:9" ht="36">
      <c r="A106" s="1028" t="s">
        <v>144</v>
      </c>
      <c r="B106" s="1128" t="s">
        <v>2772</v>
      </c>
      <c r="C106" s="1065">
        <f>mo!J176</f>
        <v>0</v>
      </c>
      <c r="D106" s="1066"/>
      <c r="E106" s="1065"/>
    </row>
    <row r="107" spans="1:9" ht="24">
      <c r="A107" s="1026" t="s">
        <v>97</v>
      </c>
      <c r="B107" s="1128" t="s">
        <v>2773</v>
      </c>
      <c r="C107" s="1065">
        <f>mo!J178</f>
        <v>0</v>
      </c>
      <c r="D107" s="1066"/>
      <c r="E107" s="1065"/>
    </row>
    <row r="108" spans="1:9" ht="24.75" thickBot="1">
      <c r="A108" s="1026" t="s">
        <v>100</v>
      </c>
      <c r="B108" s="1128" t="s">
        <v>116</v>
      </c>
      <c r="C108" s="1065">
        <f>mo!J180</f>
        <v>0</v>
      </c>
      <c r="D108" s="1066"/>
      <c r="E108" s="1065"/>
      <c r="I108" s="10"/>
    </row>
    <row r="109" spans="1:9" ht="12.75" thickBot="1">
      <c r="A109" s="1037" t="s">
        <v>146</v>
      </c>
      <c r="B109" s="1124" t="s">
        <v>1252</v>
      </c>
      <c r="C109" s="1039">
        <f>C110+C114+C111+C112+C113+C115</f>
        <v>0</v>
      </c>
      <c r="D109" s="1040">
        <v>0</v>
      </c>
      <c r="E109" s="1039">
        <f>E110+E114+E111+E115</f>
        <v>0</v>
      </c>
    </row>
    <row r="110" spans="1:9" ht="12.75" thickBot="1">
      <c r="A110" s="1026" t="s">
        <v>91</v>
      </c>
      <c r="B110" s="1160" t="s">
        <v>109</v>
      </c>
      <c r="C110" s="1065">
        <f>mo!J189</f>
        <v>0</v>
      </c>
      <c r="D110" s="1066"/>
      <c r="E110" s="1065">
        <f>mo!K189</f>
        <v>0</v>
      </c>
    </row>
    <row r="111" spans="1:9" ht="12.75" thickBot="1">
      <c r="A111" s="1026" t="s">
        <v>85</v>
      </c>
      <c r="B111" s="1160" t="s">
        <v>2774</v>
      </c>
      <c r="C111" s="1065">
        <f>mo!J186</f>
        <v>0</v>
      </c>
      <c r="D111" s="1066"/>
      <c r="E111" s="1065">
        <f>mo!K186</f>
        <v>0</v>
      </c>
    </row>
    <row r="112" spans="1:9" ht="12.75" thickBot="1">
      <c r="A112" s="1026" t="s">
        <v>89</v>
      </c>
      <c r="B112" s="1160" t="s">
        <v>2775</v>
      </c>
      <c r="C112" s="1065">
        <f>mo!J188</f>
        <v>0</v>
      </c>
      <c r="D112" s="1066"/>
      <c r="E112" s="1065"/>
    </row>
    <row r="113" spans="1:5" ht="24.75" thickBot="1">
      <c r="A113" s="1026" t="s">
        <v>97</v>
      </c>
      <c r="B113" s="1160" t="s">
        <v>2776</v>
      </c>
      <c r="C113" s="1065">
        <f>mo!J191</f>
        <v>0</v>
      </c>
      <c r="D113" s="1066"/>
      <c r="E113" s="1065"/>
    </row>
    <row r="114" spans="1:5" ht="24">
      <c r="A114" s="1026" t="s">
        <v>100</v>
      </c>
      <c r="B114" s="1160" t="s">
        <v>110</v>
      </c>
      <c r="C114" s="1065">
        <f>mo!J192</f>
        <v>0</v>
      </c>
      <c r="D114" s="1066"/>
      <c r="E114" s="1065">
        <f>mo!K192</f>
        <v>0</v>
      </c>
    </row>
    <row r="115" spans="1:5" ht="12">
      <c r="A115" s="1176" t="s">
        <v>3010</v>
      </c>
      <c r="B115" s="995" t="s">
        <v>3011</v>
      </c>
      <c r="C115" s="1029">
        <f>mo!J193</f>
        <v>0</v>
      </c>
      <c r="D115" s="1030"/>
      <c r="E115" s="1921">
        <f>mo!K193</f>
        <v>0</v>
      </c>
    </row>
    <row r="116" spans="1:5" ht="12">
      <c r="A116" s="1424" t="s">
        <v>2041</v>
      </c>
      <c r="B116" s="1423" t="s">
        <v>1180</v>
      </c>
      <c r="C116" s="1425">
        <f>SUM(C117:C120)</f>
        <v>0</v>
      </c>
      <c r="D116" s="1105">
        <v>0</v>
      </c>
      <c r="E116" s="1426">
        <f>E117+E118+E120</f>
        <v>0</v>
      </c>
    </row>
    <row r="117" spans="1:5" ht="12">
      <c r="A117" s="1026" t="s">
        <v>85</v>
      </c>
      <c r="B117" s="1423" t="s">
        <v>2777</v>
      </c>
      <c r="C117" s="942">
        <f>mo!J198</f>
        <v>0</v>
      </c>
      <c r="D117" s="1130"/>
      <c r="E117" s="942"/>
    </row>
    <row r="118" spans="1:5" ht="24">
      <c r="A118" s="1026" t="s">
        <v>97</v>
      </c>
      <c r="B118" s="1423" t="s">
        <v>1182</v>
      </c>
      <c r="C118" s="942">
        <f>mo!J203</f>
        <v>0</v>
      </c>
      <c r="D118" s="1130"/>
      <c r="E118" s="942">
        <f>mo!K206</f>
        <v>0</v>
      </c>
    </row>
    <row r="119" spans="1:5" ht="24">
      <c r="A119" s="1026" t="s">
        <v>100</v>
      </c>
      <c r="B119" s="1423" t="s">
        <v>2778</v>
      </c>
      <c r="C119" s="942">
        <f>mo!J204</f>
        <v>0</v>
      </c>
      <c r="D119" s="1130"/>
      <c r="E119" s="967"/>
    </row>
    <row r="120" spans="1:5" ht="36.75" thickBot="1">
      <c r="A120" s="1028" t="s">
        <v>144</v>
      </c>
      <c r="B120" s="1423" t="s">
        <v>291</v>
      </c>
      <c r="C120" s="942">
        <f>mo!J206</f>
        <v>0</v>
      </c>
      <c r="D120" s="950"/>
      <c r="E120" s="967">
        <f>mo!K198</f>
        <v>0</v>
      </c>
    </row>
    <row r="121" spans="1:5" ht="12">
      <c r="A121" s="2755" t="s">
        <v>182</v>
      </c>
      <c r="B121" s="2757" t="s">
        <v>2394</v>
      </c>
      <c r="C121" s="1425"/>
      <c r="D121" s="1105"/>
      <c r="E121" s="1127"/>
    </row>
    <row r="122" spans="1:5" ht="12">
      <c r="A122" s="2756"/>
      <c r="B122" s="2758"/>
      <c r="C122" s="1489">
        <f>C123+C124+C125+C126+C127</f>
        <v>0</v>
      </c>
      <c r="D122" s="1490"/>
      <c r="E122" s="1129">
        <f>E126+E127</f>
        <v>0</v>
      </c>
    </row>
    <row r="123" spans="1:5" ht="12">
      <c r="A123" s="1026" t="s">
        <v>2779</v>
      </c>
      <c r="B123" s="1128" t="s">
        <v>1461</v>
      </c>
      <c r="C123" s="1504">
        <f>mo!J217</f>
        <v>0</v>
      </c>
      <c r="D123" s="1130"/>
      <c r="E123" s="1129"/>
    </row>
    <row r="124" spans="1:5" ht="12">
      <c r="A124" s="1026" t="s">
        <v>85</v>
      </c>
      <c r="B124" s="1128" t="s">
        <v>673</v>
      </c>
      <c r="C124" s="1504">
        <f>mo!J212</f>
        <v>0</v>
      </c>
      <c r="D124" s="1130"/>
      <c r="E124" s="1129"/>
    </row>
    <row r="125" spans="1:5" ht="12">
      <c r="A125" s="1026" t="s">
        <v>91</v>
      </c>
      <c r="B125" s="1128" t="s">
        <v>1187</v>
      </c>
      <c r="C125" s="1504">
        <f>mo!J213</f>
        <v>0</v>
      </c>
      <c r="D125" s="1130"/>
      <c r="E125" s="1129"/>
    </row>
    <row r="126" spans="1:5" ht="12">
      <c r="A126" s="1026" t="s">
        <v>2780</v>
      </c>
      <c r="B126" s="1128" t="s">
        <v>1255</v>
      </c>
      <c r="C126" s="1504">
        <f>mo!J214</f>
        <v>0</v>
      </c>
      <c r="D126" s="1130"/>
      <c r="E126" s="1129">
        <f>mo!K214</f>
        <v>0</v>
      </c>
    </row>
    <row r="127" spans="1:5" ht="24.75" thickBot="1">
      <c r="A127" s="1026" t="s">
        <v>100</v>
      </c>
      <c r="B127" s="1128" t="s">
        <v>1190</v>
      </c>
      <c r="C127" s="1504">
        <f>mo!J216</f>
        <v>0</v>
      </c>
      <c r="D127" s="1130"/>
      <c r="E127" s="1129">
        <f>mo!K216</f>
        <v>0</v>
      </c>
    </row>
    <row r="128" spans="1:5" ht="12.75" thickBot="1">
      <c r="A128" s="1027" t="s">
        <v>205</v>
      </c>
      <c r="B128" s="1423" t="s">
        <v>1704</v>
      </c>
      <c r="C128" s="945">
        <f>mo!J219</f>
        <v>400000</v>
      </c>
      <c r="D128" s="943">
        <v>400000</v>
      </c>
      <c r="E128" s="942">
        <f>E129</f>
        <v>92526.16</v>
      </c>
    </row>
    <row r="129" spans="1:5" ht="24">
      <c r="A129" s="1028" t="s">
        <v>1266</v>
      </c>
      <c r="B129" s="995" t="s">
        <v>1193</v>
      </c>
      <c r="C129" s="1785">
        <f>mo!J218</f>
        <v>400000</v>
      </c>
      <c r="D129" s="1105">
        <f>D134</f>
        <v>0</v>
      </c>
      <c r="E129" s="1426">
        <f>mo!K219</f>
        <v>92526.16</v>
      </c>
    </row>
    <row r="130" spans="1:5" ht="12">
      <c r="A130" s="1051" t="s">
        <v>2781</v>
      </c>
      <c r="B130" s="1128" t="s">
        <v>1200</v>
      </c>
      <c r="C130" s="1129">
        <f>C131+C132+C133</f>
        <v>0</v>
      </c>
      <c r="D130" s="1130">
        <v>0</v>
      </c>
      <c r="E130" s="1129"/>
    </row>
    <row r="131" spans="1:5" ht="12">
      <c r="A131" s="1733" t="s">
        <v>91</v>
      </c>
      <c r="B131" s="1128" t="s">
        <v>1201</v>
      </c>
      <c r="C131" s="1785">
        <f>mo!J233</f>
        <v>0</v>
      </c>
      <c r="D131" s="1130"/>
      <c r="E131" s="1425"/>
    </row>
    <row r="132" spans="1:5" ht="24">
      <c r="A132" s="1026" t="s">
        <v>97</v>
      </c>
      <c r="B132" s="1128" t="s">
        <v>1203</v>
      </c>
      <c r="C132" s="1504">
        <f>mo!J235</f>
        <v>0</v>
      </c>
      <c r="D132" s="1130"/>
      <c r="E132" s="1129"/>
    </row>
    <row r="133" spans="1:5" ht="36">
      <c r="A133" s="1028" t="s">
        <v>144</v>
      </c>
      <c r="B133" s="1128" t="s">
        <v>2782</v>
      </c>
      <c r="C133" s="1504">
        <f>mo!J236</f>
        <v>0</v>
      </c>
      <c r="D133" s="1130"/>
      <c r="E133" s="1129"/>
    </row>
    <row r="134" spans="1:5" ht="12.75" thickBot="1">
      <c r="A134" s="1026" t="s">
        <v>1092</v>
      </c>
      <c r="B134" s="1136" t="s">
        <v>1206</v>
      </c>
      <c r="C134" s="996">
        <f>mo!J239</f>
        <v>0</v>
      </c>
      <c r="D134" s="960"/>
      <c r="E134" s="996"/>
    </row>
    <row r="135" spans="1:5" ht="12.75" thickBot="1">
      <c r="A135" s="1135" t="s">
        <v>69</v>
      </c>
      <c r="B135" s="1104" t="s">
        <v>2855</v>
      </c>
      <c r="C135" s="978">
        <f>C136</f>
        <v>1653800</v>
      </c>
      <c r="D135" s="979">
        <f>D136</f>
        <v>1653800</v>
      </c>
      <c r="E135" s="980">
        <f>E136</f>
        <v>287556.88</v>
      </c>
    </row>
    <row r="136" spans="1:5" ht="12.75" thickBot="1">
      <c r="A136" s="1028" t="s">
        <v>73</v>
      </c>
      <c r="B136" s="1117" t="s">
        <v>2856</v>
      </c>
      <c r="C136" s="967">
        <f>mo!J241</f>
        <v>1653800</v>
      </c>
      <c r="D136" s="968">
        <v>1653800</v>
      </c>
      <c r="E136" s="967">
        <f>mo!K241</f>
        <v>287556.88</v>
      </c>
    </row>
    <row r="137" spans="1:5" ht="12.75" thickBot="1">
      <c r="A137" s="1027" t="s">
        <v>1209</v>
      </c>
      <c r="B137" s="1031" t="s">
        <v>1210</v>
      </c>
      <c r="C137" s="987">
        <f>C45+C82+C89+C101+C135+C95+C121+C63+C123+C130+C122+C128</f>
        <v>7564500</v>
      </c>
      <c r="D137" s="979">
        <f>D45+D82+D89+D101+D135+D95+D121+D81+D94+D128+D122+D130</f>
        <v>7564500</v>
      </c>
      <c r="E137" s="980">
        <f>E45+E82+E89+E95+E101+E122+E128+E135</f>
        <v>1116852.8799999999</v>
      </c>
    </row>
    <row r="138" spans="1:5" ht="12.75" thickBot="1">
      <c r="A138" s="1032"/>
      <c r="B138" s="1031"/>
      <c r="C138" s="996"/>
      <c r="D138" s="960"/>
      <c r="E138" s="996"/>
    </row>
    <row r="139" spans="1:5" ht="24.75" thickBot="1">
      <c r="A139" s="1023" t="s">
        <v>1211</v>
      </c>
      <c r="B139" s="1033" t="s">
        <v>1212</v>
      </c>
      <c r="C139" s="981">
        <f>C42-C137</f>
        <v>0</v>
      </c>
      <c r="D139" s="982">
        <f>D42-D137</f>
        <v>0</v>
      </c>
      <c r="E139" s="983">
        <f>E42-E137</f>
        <v>774469.1100000001</v>
      </c>
    </row>
    <row r="140" spans="1:5" ht="36">
      <c r="A140" s="1034" t="s">
        <v>1213</v>
      </c>
      <c r="B140" s="1035" t="s">
        <v>1214</v>
      </c>
      <c r="C140" s="951"/>
      <c r="D140" s="940"/>
      <c r="E140" s="951"/>
    </row>
    <row r="141" spans="1:5" ht="24">
      <c r="A141" s="1026" t="s">
        <v>1215</v>
      </c>
      <c r="B141" s="1035" t="s">
        <v>1214</v>
      </c>
      <c r="C141" s="945"/>
      <c r="D141" s="943"/>
      <c r="E141" s="945"/>
    </row>
    <row r="142" spans="1:5" ht="12">
      <c r="A142" s="1026" t="s">
        <v>1216</v>
      </c>
      <c r="B142" s="1036" t="s">
        <v>999</v>
      </c>
      <c r="C142" s="945"/>
      <c r="D142" s="943"/>
      <c r="E142" s="945"/>
    </row>
    <row r="143" spans="1:5" ht="12">
      <c r="A143" s="1026" t="s">
        <v>1217</v>
      </c>
      <c r="B143" s="1036" t="s">
        <v>1002</v>
      </c>
      <c r="C143" s="945"/>
      <c r="D143" s="943"/>
      <c r="E143" s="945"/>
    </row>
    <row r="144" spans="1:5" ht="12">
      <c r="A144" s="1026" t="s">
        <v>1218</v>
      </c>
      <c r="B144" s="1036" t="s">
        <v>1003</v>
      </c>
      <c r="C144" s="945"/>
      <c r="D144" s="943"/>
      <c r="E144" s="945"/>
    </row>
    <row r="145" spans="1:8" ht="24">
      <c r="A145" s="1037" t="s">
        <v>1219</v>
      </c>
      <c r="B145" s="1036"/>
      <c r="C145" s="1039">
        <f>C146+C147</f>
        <v>0</v>
      </c>
      <c r="D145" s="1040">
        <f>D146+D147</f>
        <v>0</v>
      </c>
      <c r="E145" s="1039">
        <f>E146+E147</f>
        <v>-774469.1100000001</v>
      </c>
    </row>
    <row r="146" spans="1:8" ht="24">
      <c r="A146" s="1026" t="s">
        <v>1220</v>
      </c>
      <c r="B146" s="1038" t="s">
        <v>1004</v>
      </c>
      <c r="C146" s="945">
        <f>-(C42+C141+C142)</f>
        <v>-7564500</v>
      </c>
      <c r="D146" s="943">
        <f>-(D42+D141+D142)</f>
        <v>-7564500</v>
      </c>
      <c r="E146" s="945">
        <f>-(E42+E141+E142)</f>
        <v>-1891321.99</v>
      </c>
    </row>
    <row r="147" spans="1:8" ht="24">
      <c r="A147" s="1026" t="s">
        <v>1221</v>
      </c>
      <c r="B147" s="1036" t="s">
        <v>1006</v>
      </c>
      <c r="C147" s="945">
        <f>C137-C143</f>
        <v>7564500</v>
      </c>
      <c r="D147" s="943">
        <f>D137-D143</f>
        <v>7564500</v>
      </c>
      <c r="E147" s="945">
        <f>E137-E143</f>
        <v>1116852.8799999999</v>
      </c>
    </row>
    <row r="148" spans="1:8" ht="12">
      <c r="A148" s="1037" t="s">
        <v>1222</v>
      </c>
      <c r="B148" s="1036" t="s">
        <v>1008</v>
      </c>
      <c r="C148" s="1039">
        <f>C141+C142+C143+C145</f>
        <v>0</v>
      </c>
      <c r="D148" s="1040">
        <f>D141+D142+D143+D145</f>
        <v>0</v>
      </c>
      <c r="E148" s="1039">
        <f>E141+E142-(-E143)+E145</f>
        <v>-774469.1100000001</v>
      </c>
    </row>
    <row r="149" spans="1:8" ht="12">
      <c r="A149" s="1041"/>
      <c r="B149" s="1038" t="s">
        <v>1214</v>
      </c>
      <c r="C149" s="1032"/>
      <c r="D149" s="1042"/>
      <c r="E149" s="1000"/>
    </row>
    <row r="150" spans="1:8" ht="12">
      <c r="A150" s="1041" t="s">
        <v>2322</v>
      </c>
      <c r="B150" s="1032"/>
      <c r="C150" s="1032"/>
      <c r="D150" s="1041"/>
      <c r="E150" s="1032"/>
      <c r="F150" s="1032"/>
      <c r="G150" s="1042"/>
      <c r="H150" s="1000"/>
    </row>
    <row r="151" spans="1:8" ht="12">
      <c r="A151" s="1919" t="s">
        <v>3449</v>
      </c>
      <c r="B151" s="1041"/>
      <c r="C151" s="1032"/>
      <c r="D151" s="1041"/>
      <c r="E151" s="1032"/>
      <c r="F151" s="1032"/>
      <c r="G151" s="1042"/>
      <c r="H151" s="1000"/>
    </row>
    <row r="152" spans="1:8" ht="12">
      <c r="A152" s="998" t="s">
        <v>2995</v>
      </c>
      <c r="B152" s="1131">
        <v>0</v>
      </c>
      <c r="C152" s="1032"/>
      <c r="D152" s="1041"/>
      <c r="E152" s="1032"/>
      <c r="F152" s="1032"/>
      <c r="G152" s="1042"/>
      <c r="H152" s="1000"/>
    </row>
    <row r="153" spans="1:8" ht="12">
      <c r="A153" s="998" t="s">
        <v>2994</v>
      </c>
      <c r="B153" s="1131">
        <v>86964.07</v>
      </c>
      <c r="C153" s="1032"/>
      <c r="D153" s="1041"/>
      <c r="E153" s="1032"/>
      <c r="F153" s="1032"/>
      <c r="G153" s="1042"/>
      <c r="H153" s="1000"/>
    </row>
    <row r="154" spans="1:8" ht="12">
      <c r="A154" s="998" t="s">
        <v>2993</v>
      </c>
      <c r="B154" s="1131">
        <v>26376.22</v>
      </c>
      <c r="C154" s="1032"/>
      <c r="D154" s="1041"/>
      <c r="E154" s="1032"/>
      <c r="F154" s="1032"/>
      <c r="G154" s="1042"/>
      <c r="H154" s="1000"/>
    </row>
    <row r="155" spans="1:8" ht="12">
      <c r="A155" s="998" t="s">
        <v>3448</v>
      </c>
      <c r="B155" s="1131"/>
      <c r="C155" s="1032"/>
      <c r="D155" s="1041"/>
      <c r="E155" s="1032"/>
      <c r="F155" s="1032"/>
      <c r="G155" s="1042"/>
      <c r="H155" s="1000"/>
    </row>
    <row r="156" spans="1:8" ht="12">
      <c r="A156" s="1131" t="s">
        <v>3012</v>
      </c>
      <c r="B156" s="1131"/>
      <c r="C156" s="1032"/>
      <c r="D156" s="1041"/>
      <c r="E156" s="1032"/>
      <c r="F156" s="1032"/>
      <c r="G156" s="1042"/>
      <c r="H156" s="1000"/>
    </row>
    <row r="157" spans="1:8" ht="12">
      <c r="A157" s="1041" t="s">
        <v>2992</v>
      </c>
      <c r="B157" s="1920">
        <v>113340.29</v>
      </c>
      <c r="C157" s="1032"/>
      <c r="D157" s="1041"/>
      <c r="E157" s="1032"/>
      <c r="F157" s="1032"/>
      <c r="G157" s="1042"/>
      <c r="H157" s="1000"/>
    </row>
    <row r="158" spans="1:8" ht="12">
      <c r="A158" s="1041"/>
      <c r="B158" s="1041"/>
      <c r="C158" s="1032"/>
      <c r="D158" s="1041"/>
      <c r="E158" s="1032"/>
      <c r="F158" s="1032"/>
      <c r="G158" s="1042"/>
      <c r="H158" s="1000"/>
    </row>
    <row r="159" spans="1:8" ht="12">
      <c r="A159" s="1041"/>
      <c r="B159" s="1041"/>
      <c r="C159" s="1032"/>
      <c r="D159" s="1041"/>
      <c r="E159" s="1032"/>
      <c r="F159" s="1032"/>
      <c r="G159" s="1042"/>
      <c r="H159" s="1000"/>
    </row>
    <row r="160" spans="1:8" ht="12">
      <c r="A160" s="1041"/>
      <c r="B160" s="1041"/>
      <c r="C160" s="1032"/>
      <c r="D160" s="1042"/>
      <c r="E160" s="1000"/>
    </row>
    <row r="161" spans="1:5" ht="12">
      <c r="A161" s="998" t="s">
        <v>67</v>
      </c>
      <c r="B161" s="1032"/>
      <c r="C161" s="1044"/>
      <c r="D161" s="998" t="s">
        <v>768</v>
      </c>
      <c r="E161" s="1000"/>
    </row>
    <row r="162" spans="1:5" ht="12">
      <c r="A162" s="998" t="s">
        <v>2843</v>
      </c>
      <c r="B162" s="1043"/>
      <c r="C162" s="1000"/>
      <c r="D162" s="1000"/>
      <c r="E162" s="1000"/>
    </row>
    <row r="163" spans="1:5" ht="12">
      <c r="A163" s="1000"/>
      <c r="B163" s="1000"/>
      <c r="C163" s="1032"/>
      <c r="D163" s="998" t="s">
        <v>2876</v>
      </c>
      <c r="E163" s="1000"/>
    </row>
    <row r="164" spans="1:5" ht="12">
      <c r="A164" s="998" t="s">
        <v>1223</v>
      </c>
      <c r="B164" s="1043"/>
      <c r="C164" s="1000"/>
      <c r="D164" s="1000"/>
      <c r="E164" s="1000"/>
    </row>
    <row r="165" spans="1:5" ht="12">
      <c r="A165" s="1000"/>
      <c r="B165" s="1045"/>
      <c r="C165" s="1047"/>
      <c r="D165" s="998" t="s">
        <v>769</v>
      </c>
      <c r="E165" s="1000"/>
    </row>
    <row r="166" spans="1:5" ht="12">
      <c r="A166" s="998" t="s">
        <v>68</v>
      </c>
      <c r="B166" s="1046"/>
    </row>
  </sheetData>
  <mergeCells count="2">
    <mergeCell ref="A121:A122"/>
    <mergeCell ref="B121:B122"/>
  </mergeCells>
  <phoneticPr fontId="33" type="noConversion"/>
  <pageMargins left="0.70866141732283472" right="0.70866141732283472" top="0.35433070866141736" bottom="0.19685039370078741" header="0.31496062992125984" footer="0.19685039370078741"/>
  <pageSetup paperSize="9" orientation="portrait" r:id="rId1"/>
</worksheet>
</file>

<file path=xl/worksheets/sheet19.xml><?xml version="1.0" encoding="utf-8"?>
<worksheet xmlns="http://schemas.openxmlformats.org/spreadsheetml/2006/main" xmlns:r="http://schemas.openxmlformats.org/officeDocument/2006/relationships">
  <sheetPr codeName="Лист19"/>
  <dimension ref="A4:F10"/>
  <sheetViews>
    <sheetView workbookViewId="0">
      <selection activeCell="F20" sqref="F20"/>
    </sheetView>
  </sheetViews>
  <sheetFormatPr defaultRowHeight="11.25"/>
  <cols>
    <col min="1" max="1" width="20" customWidth="1"/>
    <col min="2" max="2" width="14.33203125" customWidth="1"/>
    <col min="4" max="4" width="11.6640625" bestFit="1" customWidth="1"/>
    <col min="5" max="5" width="14.83203125" customWidth="1"/>
    <col min="6" max="6" width="17" customWidth="1"/>
  </cols>
  <sheetData>
    <row r="4" spans="1:6">
      <c r="A4" t="s">
        <v>2979</v>
      </c>
    </row>
    <row r="6" spans="1:6">
      <c r="A6" t="s">
        <v>2980</v>
      </c>
      <c r="B6" s="10">
        <v>1271600</v>
      </c>
      <c r="D6" s="10">
        <v>2153700</v>
      </c>
      <c r="E6">
        <v>2049279.32</v>
      </c>
      <c r="F6" s="1983">
        <f>E6+231868.68</f>
        <v>2281148</v>
      </c>
    </row>
    <row r="7" spans="1:6">
      <c r="A7" t="s">
        <v>2981</v>
      </c>
      <c r="B7" s="10">
        <v>1254500</v>
      </c>
      <c r="D7" s="10">
        <v>1284500</v>
      </c>
      <c r="E7">
        <v>2760900</v>
      </c>
      <c r="F7" s="1983">
        <f>E7-231868.68</f>
        <v>2529031.3199999998</v>
      </c>
    </row>
    <row r="8" spans="1:6">
      <c r="A8" t="s">
        <v>2982</v>
      </c>
      <c r="B8" s="10">
        <v>524138.98</v>
      </c>
      <c r="D8" s="10">
        <v>514138.98</v>
      </c>
      <c r="E8">
        <v>0</v>
      </c>
      <c r="F8" s="1983"/>
    </row>
    <row r="9" spans="1:6">
      <c r="A9" t="s">
        <v>2983</v>
      </c>
      <c r="B9" s="10">
        <v>757461.41</v>
      </c>
      <c r="D9" s="10">
        <v>747461.41</v>
      </c>
      <c r="E9">
        <v>0</v>
      </c>
      <c r="F9" s="1983"/>
    </row>
    <row r="10" spans="1:6">
      <c r="B10" s="10">
        <f>SUM(B6:B9)</f>
        <v>3807700.39</v>
      </c>
      <c r="D10" s="10">
        <f>SUM(D6:D9)</f>
        <v>4699800.3899999997</v>
      </c>
      <c r="E10">
        <f>SUM(E6:E9)</f>
        <v>4810179.32</v>
      </c>
      <c r="F10" s="1983">
        <f>SUM(F6:F9)</f>
        <v>4810179.32</v>
      </c>
    </row>
  </sheetData>
  <phoneticPr fontId="3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N286"/>
  <sheetViews>
    <sheetView zoomScaleNormal="100" workbookViewId="0">
      <pane xSplit="5" ySplit="13" topLeftCell="I254" activePane="bottomRight" state="frozen"/>
      <selection pane="topRight" activeCell="F1" sqref="F1"/>
      <selection pane="bottomLeft" activeCell="A14" sqref="A14"/>
      <selection pane="bottomRight" activeCell="B245" sqref="B245"/>
    </sheetView>
  </sheetViews>
  <sheetFormatPr defaultRowHeight="11.25"/>
  <cols>
    <col min="1" max="1" width="31.33203125" customWidth="1"/>
    <col min="2" max="2" width="21.6640625" customWidth="1"/>
    <col min="3" max="3" width="22.83203125" customWidth="1"/>
    <col min="4" max="4" width="19.6640625" customWidth="1"/>
    <col min="5" max="5" width="22.33203125" customWidth="1"/>
    <col min="6" max="6" width="20.33203125" customWidth="1"/>
    <col min="7" max="8" width="19.83203125" customWidth="1"/>
    <col min="9" max="9" width="22.5" customWidth="1"/>
    <col min="10" max="10" width="19.83203125" customWidth="1"/>
    <col min="11" max="11" width="19.1640625" customWidth="1"/>
    <col min="12" max="12" width="20.33203125" customWidth="1"/>
    <col min="13" max="13" width="20.83203125" customWidth="1"/>
    <col min="14" max="14" width="12.6640625" bestFit="1" customWidth="1"/>
  </cols>
  <sheetData>
    <row r="1" spans="1:13" s="349" customFormat="1" ht="15.75">
      <c r="A1" s="824" t="s">
        <v>3454</v>
      </c>
      <c r="B1" s="2653"/>
      <c r="C1" s="2654"/>
      <c r="D1" s="2653"/>
      <c r="E1" s="2654"/>
      <c r="F1" s="2653"/>
      <c r="G1" s="2654"/>
      <c r="H1" s="2653"/>
      <c r="I1" s="2654"/>
      <c r="J1" s="2653"/>
      <c r="K1" s="2652"/>
      <c r="L1" s="2651" t="s">
        <v>66</v>
      </c>
      <c r="M1" s="2652"/>
    </row>
    <row r="2" spans="1:13" ht="15">
      <c r="A2" s="352"/>
      <c r="B2" s="2645" t="s">
        <v>1280</v>
      </c>
      <c r="C2" s="2650"/>
      <c r="D2" s="2645" t="s">
        <v>1281</v>
      </c>
      <c r="E2" s="2650"/>
      <c r="F2" s="2645" t="s">
        <v>1282</v>
      </c>
      <c r="G2" s="2650"/>
      <c r="H2" s="2645" t="s">
        <v>1283</v>
      </c>
      <c r="I2" s="2650"/>
      <c r="J2" s="2645" t="s">
        <v>1284</v>
      </c>
      <c r="K2" s="2646"/>
      <c r="L2" s="822" t="s">
        <v>36</v>
      </c>
      <c r="M2" s="785" t="s">
        <v>844</v>
      </c>
    </row>
    <row r="3" spans="1:13" ht="15">
      <c r="A3" s="352" t="s">
        <v>37</v>
      </c>
      <c r="B3" s="787" t="s">
        <v>1450</v>
      </c>
      <c r="C3" s="877" t="s">
        <v>1451</v>
      </c>
      <c r="D3" s="787" t="s">
        <v>1450</v>
      </c>
      <c r="E3" s="877" t="s">
        <v>1451</v>
      </c>
      <c r="F3" s="787" t="s">
        <v>1450</v>
      </c>
      <c r="G3" s="877" t="s">
        <v>1451</v>
      </c>
      <c r="H3" s="787" t="s">
        <v>1450</v>
      </c>
      <c r="I3" s="877" t="s">
        <v>1451</v>
      </c>
      <c r="J3" s="787" t="s">
        <v>1450</v>
      </c>
      <c r="K3" s="786" t="s">
        <v>1451</v>
      </c>
      <c r="L3" s="837" t="s">
        <v>1450</v>
      </c>
      <c r="M3" s="786" t="s">
        <v>1451</v>
      </c>
    </row>
    <row r="4" spans="1:13" ht="15.75">
      <c r="A4" s="825" t="s">
        <v>38</v>
      </c>
      <c r="B4" s="788">
        <f t="shared" ref="B4:K4" si="0">SUM(B5:B25)</f>
        <v>9716600</v>
      </c>
      <c r="C4" s="902">
        <f t="shared" si="0"/>
        <v>2038971.1599999997</v>
      </c>
      <c r="D4" s="788">
        <f t="shared" si="0"/>
        <v>881500</v>
      </c>
      <c r="E4" s="902">
        <f t="shared" si="0"/>
        <v>149217.96999999997</v>
      </c>
      <c r="F4" s="788">
        <f t="shared" si="0"/>
        <v>583600</v>
      </c>
      <c r="G4" s="902">
        <f t="shared" si="0"/>
        <v>87530.559999999998</v>
      </c>
      <c r="H4" s="788">
        <f t="shared" si="0"/>
        <v>453200</v>
      </c>
      <c r="I4" s="902">
        <f t="shared" si="0"/>
        <v>141929.56</v>
      </c>
      <c r="J4" s="788">
        <f t="shared" si="0"/>
        <v>189000</v>
      </c>
      <c r="K4" s="789">
        <f t="shared" si="0"/>
        <v>46321.989999999991</v>
      </c>
      <c r="L4" s="883">
        <f t="shared" ref="L4:L25" si="1">B4+D4+F4+H4+J4</f>
        <v>11823900</v>
      </c>
      <c r="M4" s="789">
        <f t="shared" ref="M4:M25" si="2">C4+E4+G4+I4+K4</f>
        <v>2463971.2400000002</v>
      </c>
    </row>
    <row r="5" spans="1:13" ht="15">
      <c r="A5" s="533" t="s">
        <v>2184</v>
      </c>
      <c r="B5" s="1997">
        <v>7000000</v>
      </c>
      <c r="C5" s="903">
        <v>1455868.63</v>
      </c>
      <c r="D5" s="803">
        <v>456000</v>
      </c>
      <c r="E5" s="903">
        <v>70299.05</v>
      </c>
      <c r="F5" s="803">
        <v>306000</v>
      </c>
      <c r="G5" s="903">
        <v>56569.31</v>
      </c>
      <c r="H5" s="803">
        <v>235000</v>
      </c>
      <c r="I5" s="903">
        <v>33261</v>
      </c>
      <c r="J5" s="803">
        <v>120000</v>
      </c>
      <c r="K5" s="793">
        <v>26867.54</v>
      </c>
      <c r="L5" s="884">
        <f t="shared" si="1"/>
        <v>8117000</v>
      </c>
      <c r="M5" s="793">
        <f t="shared" si="2"/>
        <v>1642865.53</v>
      </c>
    </row>
    <row r="6" spans="1:13" ht="15">
      <c r="A6" s="352" t="s">
        <v>1672</v>
      </c>
      <c r="B6" s="792">
        <v>6500</v>
      </c>
      <c r="C6" s="904">
        <v>1252.9000000000001</v>
      </c>
      <c r="D6" s="792"/>
      <c r="E6" s="904"/>
      <c r="F6" s="834"/>
      <c r="G6" s="904"/>
      <c r="H6" s="792"/>
      <c r="I6" s="904"/>
      <c r="J6" s="792"/>
      <c r="K6" s="796"/>
      <c r="L6" s="884">
        <f t="shared" si="1"/>
        <v>6500</v>
      </c>
      <c r="M6" s="793">
        <f t="shared" si="2"/>
        <v>1252.9000000000001</v>
      </c>
    </row>
    <row r="7" spans="1:13" ht="15">
      <c r="A7" s="352" t="s">
        <v>2186</v>
      </c>
      <c r="B7" s="792"/>
      <c r="C7" s="904"/>
      <c r="D7" s="792"/>
      <c r="E7" s="904"/>
      <c r="F7" s="834"/>
      <c r="G7" s="904"/>
      <c r="H7" s="792"/>
      <c r="I7" s="904"/>
      <c r="J7" s="792"/>
      <c r="K7" s="796"/>
      <c r="L7" s="884">
        <f t="shared" si="1"/>
        <v>0</v>
      </c>
      <c r="M7" s="793">
        <f t="shared" si="2"/>
        <v>0</v>
      </c>
    </row>
    <row r="8" spans="1:13" ht="15">
      <c r="A8" s="352" t="s">
        <v>2187</v>
      </c>
      <c r="B8" s="792">
        <v>2500</v>
      </c>
      <c r="C8" s="904">
        <v>4963.3999999999996</v>
      </c>
      <c r="D8" s="792"/>
      <c r="E8" s="904"/>
      <c r="F8" s="834"/>
      <c r="G8" s="904"/>
      <c r="H8" s="792"/>
      <c r="I8" s="904"/>
      <c r="J8" s="792"/>
      <c r="K8" s="796"/>
      <c r="L8" s="884">
        <f t="shared" si="1"/>
        <v>2500</v>
      </c>
      <c r="M8" s="793">
        <f t="shared" si="2"/>
        <v>4963.3999999999996</v>
      </c>
    </row>
    <row r="9" spans="1:13" ht="15">
      <c r="A9" s="352" t="s">
        <v>2188</v>
      </c>
      <c r="B9" s="792"/>
      <c r="C9" s="904"/>
      <c r="D9" s="792"/>
      <c r="E9" s="904"/>
      <c r="F9" s="834"/>
      <c r="G9" s="904"/>
      <c r="H9" s="792"/>
      <c r="I9" s="904"/>
      <c r="K9" s="796"/>
      <c r="L9" s="884">
        <f>B9+D9+F9+H9+J8</f>
        <v>0</v>
      </c>
      <c r="M9" s="793">
        <f t="shared" si="2"/>
        <v>0</v>
      </c>
    </row>
    <row r="10" spans="1:13" ht="15">
      <c r="A10" s="352" t="s">
        <v>1159</v>
      </c>
      <c r="B10" s="792">
        <v>250000</v>
      </c>
      <c r="C10" s="904">
        <v>87181.89</v>
      </c>
      <c r="D10" s="792">
        <v>98500</v>
      </c>
      <c r="E10" s="904">
        <v>24217.119999999999</v>
      </c>
      <c r="F10" s="834">
        <v>26500</v>
      </c>
      <c r="G10" s="904">
        <v>4843.42</v>
      </c>
      <c r="H10" s="792">
        <v>35600</v>
      </c>
      <c r="I10" s="904">
        <v>9686.8700000000008</v>
      </c>
      <c r="J10" s="792">
        <v>17800</v>
      </c>
      <c r="K10" s="796">
        <v>4843.42</v>
      </c>
      <c r="L10" s="884">
        <f t="shared" si="1"/>
        <v>428400</v>
      </c>
      <c r="M10" s="793">
        <f t="shared" si="2"/>
        <v>130772.71999999999</v>
      </c>
    </row>
    <row r="11" spans="1:13" ht="15">
      <c r="A11" s="352" t="s">
        <v>1160</v>
      </c>
      <c r="B11" s="792">
        <v>10600</v>
      </c>
      <c r="C11" s="904">
        <v>1522.95</v>
      </c>
      <c r="D11" s="792">
        <v>1500</v>
      </c>
      <c r="E11" s="904">
        <v>423.08</v>
      </c>
      <c r="F11" s="834">
        <v>1000</v>
      </c>
      <c r="G11" s="904">
        <v>84.62</v>
      </c>
      <c r="H11" s="792">
        <v>1000</v>
      </c>
      <c r="I11" s="904">
        <v>169.25</v>
      </c>
      <c r="J11" s="792">
        <v>500</v>
      </c>
      <c r="K11" s="796">
        <v>84.62</v>
      </c>
      <c r="L11" s="884">
        <f t="shared" si="1"/>
        <v>14600</v>
      </c>
      <c r="M11" s="793">
        <f t="shared" si="2"/>
        <v>2284.52</v>
      </c>
    </row>
    <row r="12" spans="1:13" ht="15">
      <c r="A12" s="352" t="s">
        <v>1161</v>
      </c>
      <c r="B12" s="792">
        <v>500000</v>
      </c>
      <c r="C12" s="904">
        <v>177607.65</v>
      </c>
      <c r="D12" s="792">
        <v>215100</v>
      </c>
      <c r="E12" s="904">
        <v>49335.46</v>
      </c>
      <c r="F12" s="834">
        <v>58000</v>
      </c>
      <c r="G12" s="904">
        <v>9867.07</v>
      </c>
      <c r="H12" s="792">
        <v>80400</v>
      </c>
      <c r="I12" s="904">
        <v>19734.189999999999</v>
      </c>
      <c r="J12" s="792">
        <v>40200</v>
      </c>
      <c r="K12" s="796">
        <v>9867.07</v>
      </c>
      <c r="L12" s="884">
        <f t="shared" si="1"/>
        <v>893700</v>
      </c>
      <c r="M12" s="793">
        <f t="shared" si="2"/>
        <v>266411.44</v>
      </c>
    </row>
    <row r="13" spans="1:13" ht="15">
      <c r="A13" s="352" t="s">
        <v>1162</v>
      </c>
      <c r="B13" s="792">
        <v>-30000</v>
      </c>
      <c r="C13" s="904">
        <v>-15675.43</v>
      </c>
      <c r="D13" s="792">
        <v>37400</v>
      </c>
      <c r="E13" s="904">
        <v>-4354.26</v>
      </c>
      <c r="F13" s="834">
        <v>1100</v>
      </c>
      <c r="G13" s="904">
        <v>-870.86</v>
      </c>
      <c r="H13" s="792">
        <v>1000</v>
      </c>
      <c r="I13" s="904">
        <v>-1741.75</v>
      </c>
      <c r="J13" s="792">
        <v>500</v>
      </c>
      <c r="K13" s="796">
        <v>-870.86</v>
      </c>
      <c r="L13" s="884">
        <f t="shared" si="1"/>
        <v>10000</v>
      </c>
      <c r="M13" s="793">
        <f t="shared" si="2"/>
        <v>-23513.160000000003</v>
      </c>
    </row>
    <row r="14" spans="1:13" ht="15">
      <c r="A14" s="352" t="s">
        <v>605</v>
      </c>
      <c r="B14" s="792">
        <v>400000</v>
      </c>
      <c r="C14" s="904">
        <v>24667.13</v>
      </c>
      <c r="D14" s="792"/>
      <c r="E14" s="904">
        <v>437.8</v>
      </c>
      <c r="F14" s="834"/>
      <c r="G14" s="904"/>
      <c r="H14" s="792"/>
      <c r="I14" s="904"/>
      <c r="J14" s="792"/>
      <c r="K14" s="796"/>
      <c r="L14" s="884">
        <f t="shared" si="1"/>
        <v>400000</v>
      </c>
      <c r="M14" s="793">
        <f t="shared" si="2"/>
        <v>25104.93</v>
      </c>
    </row>
    <row r="15" spans="1:13" ht="15">
      <c r="A15" s="352" t="s">
        <v>604</v>
      </c>
      <c r="B15" s="792">
        <v>700000</v>
      </c>
      <c r="C15" s="904">
        <v>190754.61</v>
      </c>
      <c r="D15" s="792"/>
      <c r="E15" s="904">
        <v>840.8</v>
      </c>
      <c r="F15" s="834">
        <v>12000</v>
      </c>
      <c r="G15" s="904">
        <v>1175</v>
      </c>
      <c r="H15" s="792"/>
      <c r="I15" s="904"/>
      <c r="J15" s="792"/>
      <c r="K15" s="796">
        <v>330.2</v>
      </c>
      <c r="L15" s="884">
        <f t="shared" si="1"/>
        <v>712000</v>
      </c>
      <c r="M15" s="793">
        <f t="shared" si="2"/>
        <v>193100.61</v>
      </c>
    </row>
    <row r="16" spans="1:13" ht="15">
      <c r="A16" s="352" t="s">
        <v>606</v>
      </c>
      <c r="B16" s="792">
        <v>200000</v>
      </c>
      <c r="C16" s="904">
        <v>52647.839999999997</v>
      </c>
      <c r="D16" s="792"/>
      <c r="E16" s="904"/>
      <c r="F16" s="834">
        <v>18000</v>
      </c>
      <c r="G16" s="904"/>
      <c r="H16" s="792"/>
      <c r="I16" s="904"/>
      <c r="J16" s="792"/>
      <c r="K16" s="796"/>
      <c r="L16" s="884">
        <f t="shared" si="1"/>
        <v>218000</v>
      </c>
      <c r="M16" s="793">
        <f t="shared" si="2"/>
        <v>52647.839999999997</v>
      </c>
    </row>
    <row r="17" spans="1:13" ht="15">
      <c r="A17" s="352" t="s">
        <v>2872</v>
      </c>
      <c r="B17" s="792"/>
      <c r="C17" s="904"/>
      <c r="D17" s="792"/>
      <c r="E17" s="904"/>
      <c r="F17" s="834"/>
      <c r="G17" s="904"/>
      <c r="H17" s="792"/>
      <c r="I17" s="904"/>
      <c r="J17" s="792"/>
      <c r="K17" s="796"/>
      <c r="L17" s="884">
        <f t="shared" si="1"/>
        <v>0</v>
      </c>
      <c r="M17" s="793">
        <f t="shared" si="2"/>
        <v>0</v>
      </c>
    </row>
    <row r="18" spans="1:13" ht="15">
      <c r="A18" s="352" t="s">
        <v>2837</v>
      </c>
      <c r="B18" s="792">
        <v>257000</v>
      </c>
      <c r="C18" s="904">
        <v>3399.99</v>
      </c>
      <c r="D18" s="792">
        <v>1000</v>
      </c>
      <c r="E18" s="904"/>
      <c r="F18" s="834">
        <v>1000</v>
      </c>
      <c r="G18" s="904">
        <v>150</v>
      </c>
      <c r="H18" s="792">
        <v>23500</v>
      </c>
      <c r="I18" s="904"/>
      <c r="J18" s="792"/>
      <c r="K18" s="796"/>
      <c r="L18" s="884">
        <f t="shared" si="1"/>
        <v>282500</v>
      </c>
      <c r="M18" s="793">
        <f t="shared" si="2"/>
        <v>3549.99</v>
      </c>
    </row>
    <row r="19" spans="1:13" ht="15">
      <c r="A19" s="352" t="s">
        <v>607</v>
      </c>
      <c r="B19" s="792">
        <v>220000</v>
      </c>
      <c r="C19" s="904">
        <v>15454.6</v>
      </c>
      <c r="D19" s="792">
        <v>62000</v>
      </c>
      <c r="E19" s="904">
        <v>7018.92</v>
      </c>
      <c r="F19" s="834">
        <v>150000</v>
      </c>
      <c r="G19" s="904">
        <v>7512</v>
      </c>
      <c r="H19" s="792">
        <v>66700</v>
      </c>
      <c r="I19" s="904">
        <v>79000</v>
      </c>
      <c r="J19" s="792"/>
      <c r="K19" s="796"/>
      <c r="L19" s="884">
        <f t="shared" si="1"/>
        <v>498700</v>
      </c>
      <c r="M19" s="793">
        <f t="shared" si="2"/>
        <v>108985.52</v>
      </c>
    </row>
    <row r="20" spans="1:13" ht="15">
      <c r="A20" s="773" t="s">
        <v>3290</v>
      </c>
      <c r="B20" s="792"/>
      <c r="C20" s="904"/>
      <c r="D20" s="792"/>
      <c r="E20" s="904"/>
      <c r="F20" s="834"/>
      <c r="G20" s="904"/>
      <c r="H20" s="792"/>
      <c r="I20" s="904"/>
      <c r="J20" s="792"/>
      <c r="K20" s="796"/>
      <c r="L20" s="884">
        <f t="shared" si="1"/>
        <v>0</v>
      </c>
      <c r="M20" s="793">
        <f t="shared" si="2"/>
        <v>0</v>
      </c>
    </row>
    <row r="21" spans="1:13" ht="15">
      <c r="A21" s="773" t="s">
        <v>3289</v>
      </c>
      <c r="B21" s="792"/>
      <c r="C21" s="904"/>
      <c r="D21" s="792"/>
      <c r="E21" s="904"/>
      <c r="F21" s="834"/>
      <c r="G21" s="904"/>
      <c r="H21" s="792"/>
      <c r="I21" s="904"/>
      <c r="J21" s="792"/>
      <c r="K21" s="796"/>
      <c r="L21" s="884">
        <f t="shared" si="1"/>
        <v>0</v>
      </c>
      <c r="M21" s="793">
        <f t="shared" si="2"/>
        <v>0</v>
      </c>
    </row>
    <row r="22" spans="1:13" ht="15">
      <c r="A22" s="605" t="s">
        <v>1945</v>
      </c>
      <c r="B22" s="792"/>
      <c r="C22" s="904"/>
      <c r="D22" s="792"/>
      <c r="E22" s="904"/>
      <c r="F22" s="834"/>
      <c r="G22" s="904"/>
      <c r="H22" s="792"/>
      <c r="I22" s="904"/>
      <c r="J22" s="792"/>
      <c r="K22" s="796"/>
      <c r="L22" s="884">
        <f t="shared" si="1"/>
        <v>0</v>
      </c>
      <c r="M22" s="793">
        <f t="shared" si="2"/>
        <v>0</v>
      </c>
    </row>
    <row r="23" spans="1:13" ht="15">
      <c r="A23" s="352" t="s">
        <v>3288</v>
      </c>
      <c r="B23" s="792"/>
      <c r="C23" s="904">
        <v>300</v>
      </c>
      <c r="D23" s="792"/>
      <c r="E23" s="904"/>
      <c r="F23" s="834"/>
      <c r="G23" s="904"/>
      <c r="H23" s="792"/>
      <c r="I23" s="904"/>
      <c r="J23" s="792"/>
      <c r="K23" s="796"/>
      <c r="L23" s="884">
        <f t="shared" si="1"/>
        <v>0</v>
      </c>
      <c r="M23" s="793">
        <f t="shared" si="2"/>
        <v>300</v>
      </c>
    </row>
    <row r="24" spans="1:13" ht="15">
      <c r="A24" s="352" t="s">
        <v>2860</v>
      </c>
      <c r="B24" s="792">
        <v>200000</v>
      </c>
      <c r="C24" s="904">
        <v>39025</v>
      </c>
      <c r="D24" s="792">
        <v>10000</v>
      </c>
      <c r="E24" s="904">
        <v>1000</v>
      </c>
      <c r="F24" s="834">
        <v>10000</v>
      </c>
      <c r="G24" s="904">
        <v>8200</v>
      </c>
      <c r="H24" s="792">
        <v>10000</v>
      </c>
      <c r="I24" s="904">
        <v>1820</v>
      </c>
      <c r="J24" s="792">
        <v>10000</v>
      </c>
      <c r="K24" s="796">
        <v>5200</v>
      </c>
      <c r="L24" s="884">
        <f t="shared" si="1"/>
        <v>240000</v>
      </c>
      <c r="M24" s="793">
        <f t="shared" si="2"/>
        <v>55245</v>
      </c>
    </row>
    <row r="25" spans="1:13" ht="15">
      <c r="A25" s="352" t="s">
        <v>3287</v>
      </c>
      <c r="B25" s="792"/>
      <c r="C25" s="904"/>
      <c r="D25" s="792"/>
      <c r="E25" s="904"/>
      <c r="F25" s="834"/>
      <c r="G25" s="904"/>
      <c r="H25" s="792"/>
      <c r="I25" s="904"/>
      <c r="J25" s="792"/>
      <c r="K25" s="796"/>
      <c r="L25" s="884">
        <f t="shared" si="1"/>
        <v>0</v>
      </c>
      <c r="M25" s="793">
        <f t="shared" si="2"/>
        <v>0</v>
      </c>
    </row>
    <row r="26" spans="1:13" ht="15.75">
      <c r="A26" s="825" t="s">
        <v>1022</v>
      </c>
      <c r="B26" s="788">
        <f>B27+B32+B38+B39+B41+B30+B40+B31</f>
        <v>16115700</v>
      </c>
      <c r="C26" s="788">
        <f>C27+C32+C38+C39+C41+C30+C40+C31</f>
        <v>3355783.62</v>
      </c>
      <c r="D26" s="788">
        <f>D27+D32+D38+D39+D41+D30+D40+D31+D34</f>
        <v>10585500</v>
      </c>
      <c r="E26" s="788">
        <f>E27+E32+E38+E39+E41+E30+E40+E31</f>
        <v>2197851.2799999998</v>
      </c>
      <c r="F26" s="788">
        <f>F27+F32+F38+F39+F41+F30+F40+F31</f>
        <v>10135900</v>
      </c>
      <c r="G26" s="788">
        <f>G27+G32+G38+G39+G41+G30+G40+G31</f>
        <v>2104431.4</v>
      </c>
      <c r="H26" s="788">
        <f>H27+H32+H38+H39+H41+H30+H40+H31+H34</f>
        <v>7852200</v>
      </c>
      <c r="I26" s="788">
        <f>I27+I32+I38+I39+I41+I30+I40+I31</f>
        <v>1730088.73</v>
      </c>
      <c r="J26" s="788">
        <f>J27+J32+J38+J39+J41+J30+J40+J31</f>
        <v>7375500</v>
      </c>
      <c r="K26" s="788">
        <f>K27+K32+K38+K39+K41+K30+K40+K31</f>
        <v>1845000</v>
      </c>
      <c r="L26" s="883">
        <f>L27+L32+L38+L39+L41+L30+L31+L40</f>
        <v>52064800</v>
      </c>
      <c r="M26" s="788">
        <f>M27+M32+M38+M39+M41+M30+M31</f>
        <v>11233155.029999999</v>
      </c>
    </row>
    <row r="27" spans="1:13" ht="12.75">
      <c r="A27" s="1494" t="s">
        <v>2388</v>
      </c>
      <c r="B27" s="1495">
        <f>B28+B29</f>
        <v>15161200</v>
      </c>
      <c r="C27" s="1495">
        <f t="shared" ref="C27:K27" si="3">C28+C29</f>
        <v>3305000</v>
      </c>
      <c r="D27" s="1495">
        <f t="shared" si="3"/>
        <v>10358300</v>
      </c>
      <c r="E27" s="1495">
        <f t="shared" si="3"/>
        <v>2177000</v>
      </c>
      <c r="F27" s="1495">
        <f t="shared" si="3"/>
        <v>9953300</v>
      </c>
      <c r="G27" s="1495">
        <f t="shared" si="3"/>
        <v>2090000</v>
      </c>
      <c r="H27" s="1495">
        <f t="shared" si="3"/>
        <v>7761500</v>
      </c>
      <c r="I27" s="1495">
        <f t="shared" si="3"/>
        <v>1709000</v>
      </c>
      <c r="J27" s="1495">
        <f t="shared" si="3"/>
        <v>7374800</v>
      </c>
      <c r="K27" s="1495">
        <f t="shared" si="3"/>
        <v>1845000</v>
      </c>
      <c r="L27" s="1496">
        <f t="shared" ref="L27:L43" si="4">B27+D27+F27+H27+J27</f>
        <v>50609100</v>
      </c>
      <c r="M27" s="1497">
        <f t="shared" ref="M27:M43" si="5">C27+E27+G27+I27+K27</f>
        <v>11126000</v>
      </c>
    </row>
    <row r="28" spans="1:13" ht="26.25">
      <c r="A28" s="1493" t="s">
        <v>3400</v>
      </c>
      <c r="B28" s="797">
        <v>13141200</v>
      </c>
      <c r="C28" s="905">
        <v>3285000</v>
      </c>
      <c r="D28" s="797">
        <v>8628300</v>
      </c>
      <c r="E28" s="905">
        <v>2157000</v>
      </c>
      <c r="F28" s="797">
        <v>8280100</v>
      </c>
      <c r="G28" s="905">
        <v>2070000</v>
      </c>
      <c r="H28" s="797">
        <v>6760500</v>
      </c>
      <c r="I28" s="905">
        <v>1689000</v>
      </c>
      <c r="J28" s="797">
        <v>7374800</v>
      </c>
      <c r="K28" s="801">
        <v>1845000</v>
      </c>
      <c r="L28" s="885">
        <f t="shared" si="4"/>
        <v>44184900</v>
      </c>
      <c r="M28" s="798">
        <f t="shared" si="5"/>
        <v>11046000</v>
      </c>
    </row>
    <row r="29" spans="1:13" ht="26.25">
      <c r="A29" s="1493" t="s">
        <v>3401</v>
      </c>
      <c r="B29" s="797">
        <v>2020000</v>
      </c>
      <c r="C29" s="905">
        <v>20000</v>
      </c>
      <c r="D29" s="797">
        <f>1217400+512600</f>
        <v>1730000</v>
      </c>
      <c r="E29" s="905">
        <v>20000</v>
      </c>
      <c r="F29" s="797">
        <v>1673200</v>
      </c>
      <c r="G29" s="905">
        <v>20000</v>
      </c>
      <c r="H29" s="797">
        <v>1001000</v>
      </c>
      <c r="I29" s="905">
        <v>20000</v>
      </c>
      <c r="J29" s="797"/>
      <c r="K29" s="801"/>
      <c r="L29" s="885">
        <f t="shared" si="4"/>
        <v>6424200</v>
      </c>
      <c r="M29" s="798">
        <f t="shared" si="5"/>
        <v>80000</v>
      </c>
    </row>
    <row r="30" spans="1:13" ht="25.5">
      <c r="A30" s="781" t="s">
        <v>1285</v>
      </c>
      <c r="B30" s="797"/>
      <c r="C30" s="905"/>
      <c r="D30" s="797"/>
      <c r="E30" s="905"/>
      <c r="F30" s="797"/>
      <c r="G30" s="905"/>
      <c r="H30" s="797"/>
      <c r="I30" s="905"/>
      <c r="J30" s="797"/>
      <c r="K30" s="801"/>
      <c r="L30" s="886">
        <f t="shared" si="4"/>
        <v>0</v>
      </c>
      <c r="M30" s="801">
        <f t="shared" si="5"/>
        <v>0</v>
      </c>
    </row>
    <row r="31" spans="1:13" ht="26.25" thickBot="1">
      <c r="A31" s="1905" t="s">
        <v>224</v>
      </c>
      <c r="B31" s="1906"/>
      <c r="C31" s="1907"/>
      <c r="D31" s="1906"/>
      <c r="E31" s="1907"/>
      <c r="F31" s="1906"/>
      <c r="G31" s="1907"/>
      <c r="H31" s="1906"/>
      <c r="I31" s="1907"/>
      <c r="J31" s="1906"/>
      <c r="K31" s="1908"/>
      <c r="L31" s="1909">
        <f t="shared" si="4"/>
        <v>0</v>
      </c>
      <c r="M31" s="1908">
        <f t="shared" si="5"/>
        <v>0</v>
      </c>
    </row>
    <row r="32" spans="1:13" ht="16.5" thickBot="1">
      <c r="A32" s="1914" t="s">
        <v>2862</v>
      </c>
      <c r="B32" s="1915">
        <f>B35</f>
        <v>612300</v>
      </c>
      <c r="C32" s="1916">
        <f>SUM(C33:C37)</f>
        <v>0</v>
      </c>
      <c r="D32" s="1916">
        <f>SUM(D33:D37)</f>
        <v>110500</v>
      </c>
      <c r="E32" s="1916">
        <f>SUM(E33:E37)</f>
        <v>0</v>
      </c>
      <c r="F32" s="1916">
        <f>F33+F34+F36+F35</f>
        <v>90400</v>
      </c>
      <c r="G32" s="1916">
        <f>G33+G34+G36+G35</f>
        <v>0</v>
      </c>
      <c r="H32" s="1915"/>
      <c r="I32" s="1916"/>
      <c r="J32" s="1915">
        <f>J34</f>
        <v>0</v>
      </c>
      <c r="K32" s="1917">
        <f>K33+K34+K35+K36+K37</f>
        <v>0</v>
      </c>
      <c r="L32" s="1918">
        <f t="shared" si="4"/>
        <v>813200</v>
      </c>
      <c r="M32" s="1917">
        <f t="shared" si="5"/>
        <v>0</v>
      </c>
    </row>
    <row r="33" spans="1:14" ht="25.5">
      <c r="A33" s="782" t="s">
        <v>692</v>
      </c>
      <c r="B33" s="1910"/>
      <c r="C33" s="1911"/>
      <c r="D33" s="1910"/>
      <c r="E33" s="1911"/>
      <c r="F33" s="1910"/>
      <c r="G33" s="1911"/>
      <c r="H33" s="1910"/>
      <c r="I33" s="1911"/>
      <c r="J33" s="1910"/>
      <c r="K33" s="1912"/>
      <c r="L33" s="1913">
        <f t="shared" si="4"/>
        <v>0</v>
      </c>
      <c r="M33" s="1912">
        <f t="shared" si="5"/>
        <v>0</v>
      </c>
    </row>
    <row r="34" spans="1:14" ht="25.5">
      <c r="A34" s="782" t="s">
        <v>2984</v>
      </c>
      <c r="B34" s="803"/>
      <c r="C34" s="903"/>
      <c r="D34" s="803"/>
      <c r="E34" s="903"/>
      <c r="F34" s="803"/>
      <c r="G34" s="903"/>
      <c r="H34" s="803"/>
      <c r="I34" s="903"/>
      <c r="J34" s="803"/>
      <c r="K34" s="793"/>
      <c r="L34" s="889">
        <f t="shared" si="4"/>
        <v>0</v>
      </c>
      <c r="M34" s="804">
        <f t="shared" si="5"/>
        <v>0</v>
      </c>
    </row>
    <row r="35" spans="1:14" ht="25.5">
      <c r="A35" s="783" t="s">
        <v>2390</v>
      </c>
      <c r="B35" s="803">
        <v>612300</v>
      </c>
      <c r="C35" s="903"/>
      <c r="D35" s="803">
        <v>110500</v>
      </c>
      <c r="E35" s="903"/>
      <c r="F35" s="803">
        <v>90400</v>
      </c>
      <c r="G35" s="903"/>
      <c r="H35" s="803"/>
      <c r="I35" s="1166"/>
      <c r="J35" s="1165"/>
      <c r="K35" s="1167"/>
      <c r="L35" s="1181">
        <f t="shared" si="4"/>
        <v>813200</v>
      </c>
      <c r="M35" s="793">
        <f t="shared" si="5"/>
        <v>0</v>
      </c>
    </row>
    <row r="36" spans="1:14" ht="25.5">
      <c r="A36" s="783" t="s">
        <v>123</v>
      </c>
      <c r="B36" s="803"/>
      <c r="C36" s="903"/>
      <c r="D36" s="803"/>
      <c r="E36" s="903"/>
      <c r="F36" s="803"/>
      <c r="G36" s="903"/>
      <c r="H36" s="803"/>
      <c r="I36" s="903"/>
      <c r="J36" s="803"/>
      <c r="K36" s="793"/>
      <c r="L36" s="890">
        <f t="shared" si="4"/>
        <v>0</v>
      </c>
      <c r="M36" s="793">
        <f t="shared" si="5"/>
        <v>0</v>
      </c>
    </row>
    <row r="37" spans="1:14" ht="25.5">
      <c r="A37" s="783" t="s">
        <v>965</v>
      </c>
      <c r="B37" s="803"/>
      <c r="C37" s="903"/>
      <c r="D37" s="803"/>
      <c r="E37" s="903"/>
      <c r="F37" s="803"/>
      <c r="G37" s="903"/>
      <c r="H37" s="1165"/>
      <c r="I37" s="1166"/>
      <c r="J37" s="1165"/>
      <c r="K37" s="1167"/>
      <c r="L37" s="1181">
        <f t="shared" si="4"/>
        <v>0</v>
      </c>
      <c r="M37" s="793">
        <f t="shared" si="5"/>
        <v>0</v>
      </c>
    </row>
    <row r="38" spans="1:14" ht="26.25">
      <c r="A38" s="781" t="s">
        <v>3402</v>
      </c>
      <c r="B38" s="797">
        <v>341500</v>
      </c>
      <c r="C38" s="905">
        <v>50783.62</v>
      </c>
      <c r="D38" s="797">
        <v>116000</v>
      </c>
      <c r="E38" s="905">
        <v>20851.28</v>
      </c>
      <c r="F38" s="1995">
        <v>91500</v>
      </c>
      <c r="G38" s="905">
        <v>14431.4</v>
      </c>
      <c r="H38" s="797">
        <v>90000</v>
      </c>
      <c r="I38" s="905">
        <v>21088.73</v>
      </c>
      <c r="J38" s="797"/>
      <c r="K38" s="801"/>
      <c r="L38" s="891">
        <f t="shared" si="4"/>
        <v>639000</v>
      </c>
      <c r="M38" s="798">
        <f t="shared" si="5"/>
        <v>107155.02999999998</v>
      </c>
    </row>
    <row r="39" spans="1:14" ht="25.5">
      <c r="A39" s="781" t="s">
        <v>3403</v>
      </c>
      <c r="B39" s="797">
        <v>700</v>
      </c>
      <c r="C39" s="905"/>
      <c r="D39" s="797">
        <v>700</v>
      </c>
      <c r="E39" s="905"/>
      <c r="F39" s="797">
        <v>700</v>
      </c>
      <c r="G39" s="905"/>
      <c r="H39" s="797">
        <v>700</v>
      </c>
      <c r="I39" s="905"/>
      <c r="J39" s="797">
        <v>700</v>
      </c>
      <c r="K39" s="801"/>
      <c r="L39" s="886">
        <f t="shared" si="4"/>
        <v>3500</v>
      </c>
      <c r="M39" s="801">
        <f t="shared" si="5"/>
        <v>0</v>
      </c>
    </row>
    <row r="40" spans="1:14" ht="15">
      <c r="A40" s="781" t="s">
        <v>2389</v>
      </c>
      <c r="B40" s="797"/>
      <c r="C40" s="905"/>
      <c r="D40" s="797"/>
      <c r="E40" s="905"/>
      <c r="F40" s="797"/>
      <c r="G40" s="905"/>
      <c r="H40" s="797"/>
      <c r="I40" s="905"/>
      <c r="J40" s="797"/>
      <c r="K40" s="801"/>
      <c r="L40" s="886">
        <f t="shared" si="4"/>
        <v>0</v>
      </c>
      <c r="M40" s="801">
        <f t="shared" si="5"/>
        <v>0</v>
      </c>
    </row>
    <row r="41" spans="1:14" ht="15">
      <c r="A41" s="774" t="s">
        <v>686</v>
      </c>
      <c r="B41" s="1182"/>
      <c r="C41" s="1183"/>
      <c r="D41" s="1182"/>
      <c r="E41" s="1183"/>
      <c r="F41" s="1182"/>
      <c r="G41" s="1183"/>
      <c r="H41" s="1995"/>
      <c r="I41" s="1183"/>
      <c r="J41" s="1182"/>
      <c r="K41" s="1184"/>
      <c r="L41" s="1185">
        <f t="shared" si="4"/>
        <v>0</v>
      </c>
      <c r="M41" s="801">
        <f t="shared" si="5"/>
        <v>0</v>
      </c>
    </row>
    <row r="42" spans="1:14" ht="15">
      <c r="A42" s="605" t="s">
        <v>3291</v>
      </c>
      <c r="B42" s="805"/>
      <c r="C42" s="906">
        <v>-0.56000000000000005</v>
      </c>
      <c r="D42" s="805"/>
      <c r="E42" s="906">
        <v>-2209</v>
      </c>
      <c r="F42" s="805"/>
      <c r="G42" s="906"/>
      <c r="H42" s="1165"/>
      <c r="I42" s="906"/>
      <c r="J42" s="805"/>
      <c r="K42" s="907"/>
      <c r="L42" s="888">
        <f t="shared" si="4"/>
        <v>0</v>
      </c>
      <c r="M42" s="793">
        <f t="shared" si="5"/>
        <v>-2209.56</v>
      </c>
    </row>
    <row r="43" spans="1:14" ht="15.75">
      <c r="A43" s="350" t="s">
        <v>853</v>
      </c>
      <c r="B43" s="909">
        <f t="shared" ref="B43:G43" si="6">B4+B26+B42</f>
        <v>25832300</v>
      </c>
      <c r="C43" s="909">
        <f t="shared" si="6"/>
        <v>5394754.2199999997</v>
      </c>
      <c r="D43" s="908">
        <f t="shared" si="6"/>
        <v>11467000</v>
      </c>
      <c r="E43" s="909">
        <f t="shared" si="6"/>
        <v>2344860.25</v>
      </c>
      <c r="F43" s="908">
        <f t="shared" si="6"/>
        <v>10719500</v>
      </c>
      <c r="G43" s="909">
        <f t="shared" si="6"/>
        <v>2191961.96</v>
      </c>
      <c r="H43" s="908">
        <f>H4+H26</f>
        <v>8305400</v>
      </c>
      <c r="I43" s="909">
        <f>I4+I26</f>
        <v>1872018.29</v>
      </c>
      <c r="J43" s="908">
        <f>J4+J26</f>
        <v>7564500</v>
      </c>
      <c r="K43" s="910">
        <f>K4+K26+K42</f>
        <v>1891321.99</v>
      </c>
      <c r="L43" s="883">
        <f t="shared" si="4"/>
        <v>63888700</v>
      </c>
      <c r="M43" s="789">
        <f t="shared" si="5"/>
        <v>13694916.709999999</v>
      </c>
    </row>
    <row r="44" spans="1:14" ht="16.5" thickBot="1">
      <c r="A44" s="844"/>
      <c r="B44" s="2475" t="s">
        <v>1452</v>
      </c>
      <c r="C44" s="2476" t="s">
        <v>1453</v>
      </c>
      <c r="D44" s="2475" t="s">
        <v>1452</v>
      </c>
      <c r="E44" s="2476" t="s">
        <v>1453</v>
      </c>
      <c r="F44" s="2475" t="s">
        <v>1452</v>
      </c>
      <c r="G44" s="2476" t="s">
        <v>1453</v>
      </c>
      <c r="H44" s="2475" t="s">
        <v>1452</v>
      </c>
      <c r="I44" s="2476" t="s">
        <v>1453</v>
      </c>
      <c r="J44" s="2475" t="s">
        <v>1452</v>
      </c>
      <c r="K44" s="2477" t="s">
        <v>1453</v>
      </c>
      <c r="L44" s="892" t="s">
        <v>1452</v>
      </c>
      <c r="M44" s="847" t="s">
        <v>1453</v>
      </c>
    </row>
    <row r="45" spans="1:14" ht="26.25" thickBot="1">
      <c r="A45" s="2478" t="s">
        <v>2387</v>
      </c>
      <c r="B45" s="2479">
        <f>B29</f>
        <v>2020000</v>
      </c>
      <c r="C45" s="2486">
        <f t="shared" ref="C45:K45" si="7">C29</f>
        <v>20000</v>
      </c>
      <c r="D45" s="2479">
        <f t="shared" si="7"/>
        <v>1730000</v>
      </c>
      <c r="E45" s="2486">
        <f t="shared" si="7"/>
        <v>20000</v>
      </c>
      <c r="F45" s="2479">
        <f t="shared" si="7"/>
        <v>1673200</v>
      </c>
      <c r="G45" s="2486">
        <f t="shared" si="7"/>
        <v>20000</v>
      </c>
      <c r="H45" s="2479">
        <f t="shared" si="7"/>
        <v>1001000</v>
      </c>
      <c r="I45" s="2486">
        <f t="shared" si="7"/>
        <v>20000</v>
      </c>
      <c r="J45" s="2479">
        <f t="shared" si="7"/>
        <v>0</v>
      </c>
      <c r="K45" s="2486">
        <f t="shared" si="7"/>
        <v>0</v>
      </c>
      <c r="L45" s="2480">
        <f t="shared" ref="L45:L99" si="8">B45+D45+F45+H45+J45</f>
        <v>6424200</v>
      </c>
      <c r="M45" s="2481">
        <f t="shared" ref="M45:M99" si="9">C45+E45+G45+I45+K45</f>
        <v>80000</v>
      </c>
    </row>
    <row r="46" spans="1:14" ht="16.5" thickBot="1">
      <c r="A46" s="2556" t="s">
        <v>843</v>
      </c>
      <c r="B46" s="2557">
        <f t="shared" ref="B46:K46" si="10">SUM(B47:B55)</f>
        <v>14536050</v>
      </c>
      <c r="C46" s="2557">
        <f t="shared" si="10"/>
        <v>4398119.83</v>
      </c>
      <c r="D46" s="2557">
        <f t="shared" si="10"/>
        <v>6900800</v>
      </c>
      <c r="E46" s="2557">
        <f t="shared" si="10"/>
        <v>1391116.77</v>
      </c>
      <c r="F46" s="2557">
        <f t="shared" si="10"/>
        <v>5913800.3499999996</v>
      </c>
      <c r="G46" s="2557">
        <f t="shared" si="10"/>
        <v>871447.11</v>
      </c>
      <c r="H46" s="2557">
        <f t="shared" si="10"/>
        <v>5016200</v>
      </c>
      <c r="I46" s="2557">
        <f t="shared" si="10"/>
        <v>1239688.96</v>
      </c>
      <c r="J46" s="2557">
        <f t="shared" si="10"/>
        <v>3078700</v>
      </c>
      <c r="K46" s="2557">
        <f t="shared" si="10"/>
        <v>790398.04999999993</v>
      </c>
      <c r="L46" s="2557">
        <f t="shared" si="8"/>
        <v>35445550.350000001</v>
      </c>
      <c r="M46" s="2558">
        <f t="shared" si="9"/>
        <v>8690770.7200000007</v>
      </c>
    </row>
    <row r="47" spans="1:14" ht="15">
      <c r="A47" s="2402" t="s">
        <v>2697</v>
      </c>
      <c r="B47" s="2482">
        <f t="shared" ref="B47:K47" si="11">B71+B87</f>
        <v>8301000</v>
      </c>
      <c r="C47" s="2487">
        <f t="shared" si="11"/>
        <v>2141407.13</v>
      </c>
      <c r="D47" s="2482">
        <f t="shared" si="11"/>
        <v>3717800</v>
      </c>
      <c r="E47" s="2487">
        <f t="shared" si="11"/>
        <v>805451.51</v>
      </c>
      <c r="F47" s="2482">
        <f t="shared" si="11"/>
        <v>3005038.35</v>
      </c>
      <c r="G47" s="2487">
        <f t="shared" si="11"/>
        <v>542299.32999999996</v>
      </c>
      <c r="H47" s="2482">
        <f t="shared" si="11"/>
        <v>3025500</v>
      </c>
      <c r="I47" s="2487">
        <f t="shared" si="11"/>
        <v>665214.54</v>
      </c>
      <c r="J47" s="2482">
        <f t="shared" si="11"/>
        <v>1700000</v>
      </c>
      <c r="K47" s="2487">
        <f t="shared" si="11"/>
        <v>328283.32</v>
      </c>
      <c r="L47" s="2401">
        <f t="shared" si="8"/>
        <v>19749338.350000001</v>
      </c>
      <c r="M47" s="2404">
        <f t="shared" si="9"/>
        <v>4482655.83</v>
      </c>
      <c r="N47" s="10"/>
    </row>
    <row r="48" spans="1:14" ht="15">
      <c r="A48" s="2316" t="s">
        <v>2698</v>
      </c>
      <c r="B48" s="2313">
        <f>B72+B89</f>
        <v>317450</v>
      </c>
      <c r="C48" s="2488">
        <f>C72+C89</f>
        <v>58608.65</v>
      </c>
      <c r="D48" s="2313">
        <f>D72+D89</f>
        <v>145000</v>
      </c>
      <c r="E48" s="2488">
        <f>E72+E89</f>
        <v>60000</v>
      </c>
      <c r="F48" s="2313">
        <f>F72+F89+F80</f>
        <v>295900</v>
      </c>
      <c r="G48" s="2488">
        <f>G72+G89+G80</f>
        <v>7393.71</v>
      </c>
      <c r="H48" s="2313">
        <f>H72+H89</f>
        <v>399900</v>
      </c>
      <c r="I48" s="2488">
        <f>I72+I89</f>
        <v>133730</v>
      </c>
      <c r="J48" s="2313">
        <f>J72+J89</f>
        <v>300000</v>
      </c>
      <c r="K48" s="2488">
        <f>K72+K89</f>
        <v>112920</v>
      </c>
      <c r="L48" s="2313">
        <f t="shared" si="8"/>
        <v>1458250</v>
      </c>
      <c r="M48" s="2315">
        <f t="shared" si="9"/>
        <v>372652.36</v>
      </c>
    </row>
    <row r="49" spans="1:13" ht="15">
      <c r="A49" s="2316" t="s">
        <v>3292</v>
      </c>
      <c r="B49" s="2313">
        <f t="shared" ref="B49:K49" si="12">B73+B88</f>
        <v>2212000</v>
      </c>
      <c r="C49" s="2488">
        <f t="shared" si="12"/>
        <v>645871.26</v>
      </c>
      <c r="D49" s="2313">
        <f t="shared" si="12"/>
        <v>1122700</v>
      </c>
      <c r="E49" s="2488">
        <f t="shared" si="12"/>
        <v>233413.71000000002</v>
      </c>
      <c r="F49" s="2313">
        <f t="shared" si="12"/>
        <v>997562</v>
      </c>
      <c r="G49" s="2488">
        <f t="shared" si="12"/>
        <v>136206.97</v>
      </c>
      <c r="H49" s="2313">
        <f t="shared" si="12"/>
        <v>909100</v>
      </c>
      <c r="I49" s="2488">
        <f t="shared" si="12"/>
        <v>129479.95</v>
      </c>
      <c r="J49" s="2313">
        <f t="shared" si="12"/>
        <v>581000</v>
      </c>
      <c r="K49" s="2488">
        <f t="shared" si="12"/>
        <v>46755.399999999994</v>
      </c>
      <c r="L49" s="2313">
        <f t="shared" si="8"/>
        <v>5822362</v>
      </c>
      <c r="M49" s="2315">
        <f t="shared" si="9"/>
        <v>1191727.2899999998</v>
      </c>
    </row>
    <row r="50" spans="1:13" ht="15">
      <c r="A50" s="2317">
        <v>242</v>
      </c>
      <c r="B50" s="2313">
        <f t="shared" ref="B50:K50" si="13">B76+B90</f>
        <v>714000</v>
      </c>
      <c r="C50" s="2488">
        <f t="shared" si="13"/>
        <v>64586.94</v>
      </c>
      <c r="D50" s="2313">
        <f t="shared" si="13"/>
        <v>90000</v>
      </c>
      <c r="E50" s="2488">
        <f t="shared" si="13"/>
        <v>22014</v>
      </c>
      <c r="F50" s="2313">
        <f t="shared" si="13"/>
        <v>307000</v>
      </c>
      <c r="G50" s="2488">
        <f t="shared" si="13"/>
        <v>24960</v>
      </c>
      <c r="H50" s="2313">
        <f t="shared" si="13"/>
        <v>268000</v>
      </c>
      <c r="I50" s="2488">
        <f t="shared" si="13"/>
        <v>99910.6</v>
      </c>
      <c r="J50" s="2313">
        <f t="shared" si="13"/>
        <v>60578.62</v>
      </c>
      <c r="K50" s="2488">
        <f t="shared" si="13"/>
        <v>60578.62</v>
      </c>
      <c r="L50" s="2313">
        <f t="shared" si="8"/>
        <v>1439578.62</v>
      </c>
      <c r="M50" s="2315">
        <f t="shared" si="9"/>
        <v>272050.16000000003</v>
      </c>
    </row>
    <row r="51" spans="1:13" ht="15">
      <c r="A51" s="2317">
        <v>244</v>
      </c>
      <c r="B51" s="2313">
        <f t="shared" ref="B51:K51" si="14">B77+B91+B112+B116</f>
        <v>831000</v>
      </c>
      <c r="C51" s="2488">
        <f t="shared" si="14"/>
        <v>191351.49</v>
      </c>
      <c r="D51" s="2313">
        <f t="shared" si="14"/>
        <v>1795300</v>
      </c>
      <c r="E51" s="2488">
        <f t="shared" si="14"/>
        <v>268027.79000000004</v>
      </c>
      <c r="F51" s="2313">
        <f t="shared" si="14"/>
        <v>1273100</v>
      </c>
      <c r="G51" s="2488">
        <f t="shared" si="14"/>
        <v>155709.18</v>
      </c>
      <c r="H51" s="2313">
        <f t="shared" si="14"/>
        <v>398700</v>
      </c>
      <c r="I51" s="2488">
        <f t="shared" si="14"/>
        <v>209248.87</v>
      </c>
      <c r="J51" s="2313">
        <f t="shared" si="14"/>
        <v>414121.38</v>
      </c>
      <c r="K51" s="2488">
        <f t="shared" si="14"/>
        <v>240394.33</v>
      </c>
      <c r="L51" s="2313">
        <f t="shared" si="8"/>
        <v>4712221.38</v>
      </c>
      <c r="M51" s="2315">
        <f t="shared" si="9"/>
        <v>1064731.6599999999</v>
      </c>
    </row>
    <row r="52" spans="1:13" ht="15">
      <c r="A52" s="2317">
        <v>831</v>
      </c>
      <c r="B52" s="2313">
        <f t="shared" ref="B52:K52" si="15">B92</f>
        <v>2010600</v>
      </c>
      <c r="C52" s="2488">
        <f t="shared" si="15"/>
        <v>1186421.19</v>
      </c>
      <c r="D52" s="2313">
        <f t="shared" si="15"/>
        <v>0</v>
      </c>
      <c r="E52" s="2488">
        <f t="shared" si="15"/>
        <v>0</v>
      </c>
      <c r="F52" s="2313">
        <f t="shared" si="15"/>
        <v>10200</v>
      </c>
      <c r="G52" s="2488">
        <f t="shared" si="15"/>
        <v>0</v>
      </c>
      <c r="H52" s="2313">
        <f t="shared" si="15"/>
        <v>0</v>
      </c>
      <c r="I52" s="2488">
        <f t="shared" si="15"/>
        <v>0</v>
      </c>
      <c r="J52" s="2313">
        <f t="shared" si="15"/>
        <v>0</v>
      </c>
      <c r="K52" s="2488">
        <f t="shared" si="15"/>
        <v>0</v>
      </c>
      <c r="L52" s="2313">
        <f t="shared" si="8"/>
        <v>2020800</v>
      </c>
      <c r="M52" s="2315">
        <f t="shared" si="9"/>
        <v>1186421.19</v>
      </c>
    </row>
    <row r="53" spans="1:13" ht="15">
      <c r="A53" s="2317">
        <v>852</v>
      </c>
      <c r="B53" s="2313">
        <f t="shared" ref="B53:K53" si="16">B78+B93</f>
        <v>50000</v>
      </c>
      <c r="C53" s="2488">
        <f t="shared" si="16"/>
        <v>34790</v>
      </c>
      <c r="D53" s="2313">
        <f t="shared" si="16"/>
        <v>20000</v>
      </c>
      <c r="E53" s="2488">
        <f t="shared" si="16"/>
        <v>2209.7600000000002</v>
      </c>
      <c r="F53" s="2313">
        <f t="shared" si="16"/>
        <v>20000</v>
      </c>
      <c r="G53" s="2488">
        <f t="shared" si="16"/>
        <v>4877.92</v>
      </c>
      <c r="H53" s="2313">
        <f t="shared" si="16"/>
        <v>10000</v>
      </c>
      <c r="I53" s="2488">
        <f t="shared" si="16"/>
        <v>2105</v>
      </c>
      <c r="J53" s="2313">
        <f t="shared" si="16"/>
        <v>20000</v>
      </c>
      <c r="K53" s="2488">
        <f t="shared" si="16"/>
        <v>1466.38</v>
      </c>
      <c r="L53" s="2313">
        <f t="shared" si="8"/>
        <v>120000</v>
      </c>
      <c r="M53" s="2315">
        <f t="shared" si="9"/>
        <v>45449.06</v>
      </c>
    </row>
    <row r="54" spans="1:13" ht="15">
      <c r="A54" s="2317">
        <v>853</v>
      </c>
      <c r="B54" s="2313">
        <f>B94</f>
        <v>100000</v>
      </c>
      <c r="C54" s="2488">
        <f>C110</f>
        <v>75083.17</v>
      </c>
      <c r="D54" s="2313"/>
      <c r="E54" s="2488"/>
      <c r="F54" s="2313"/>
      <c r="G54" s="2488"/>
      <c r="H54" s="2313"/>
      <c r="I54" s="2488"/>
      <c r="J54" s="2313"/>
      <c r="K54" s="2488"/>
      <c r="L54" s="2313"/>
      <c r="M54" s="2315"/>
    </row>
    <row r="55" spans="1:13" ht="15">
      <c r="A55" s="2317">
        <v>870</v>
      </c>
      <c r="B55" s="2313">
        <f t="shared" ref="B55:K55" si="17">B114</f>
        <v>0</v>
      </c>
      <c r="C55" s="2488">
        <f t="shared" si="17"/>
        <v>0</v>
      </c>
      <c r="D55" s="2313">
        <f t="shared" si="17"/>
        <v>10000</v>
      </c>
      <c r="E55" s="2488">
        <f t="shared" si="17"/>
        <v>0</v>
      </c>
      <c r="F55" s="2313">
        <f t="shared" si="17"/>
        <v>5000</v>
      </c>
      <c r="G55" s="2488">
        <f t="shared" si="17"/>
        <v>0</v>
      </c>
      <c r="H55" s="2313">
        <f t="shared" si="17"/>
        <v>5000</v>
      </c>
      <c r="I55" s="2488">
        <f t="shared" si="17"/>
        <v>0</v>
      </c>
      <c r="J55" s="2313">
        <f t="shared" si="17"/>
        <v>3000</v>
      </c>
      <c r="K55" s="2488">
        <f t="shared" si="17"/>
        <v>0</v>
      </c>
      <c r="L55" s="2313">
        <f t="shared" si="8"/>
        <v>23000</v>
      </c>
      <c r="M55" s="2315">
        <f t="shared" si="9"/>
        <v>0</v>
      </c>
    </row>
    <row r="56" spans="1:13" ht="15">
      <c r="A56" s="776" t="s">
        <v>1024</v>
      </c>
      <c r="B56" s="807">
        <f t="shared" ref="B56:K56" si="18">B95+B100</f>
        <v>200000</v>
      </c>
      <c r="C56" s="2483">
        <f t="shared" si="18"/>
        <v>42696.94</v>
      </c>
      <c r="D56" s="807">
        <f t="shared" si="18"/>
        <v>40000</v>
      </c>
      <c r="E56" s="2483">
        <f t="shared" si="18"/>
        <v>4881</v>
      </c>
      <c r="F56" s="807">
        <f t="shared" si="18"/>
        <v>90000</v>
      </c>
      <c r="G56" s="2483">
        <f t="shared" si="18"/>
        <v>8645.5</v>
      </c>
      <c r="H56" s="807">
        <f t="shared" si="18"/>
        <v>105000</v>
      </c>
      <c r="I56" s="2483">
        <f t="shared" si="18"/>
        <v>75042.100000000006</v>
      </c>
      <c r="J56" s="807">
        <f t="shared" si="18"/>
        <v>52218.62</v>
      </c>
      <c r="K56" s="2483">
        <f t="shared" si="18"/>
        <v>52218.62</v>
      </c>
      <c r="L56" s="807">
        <f t="shared" si="8"/>
        <v>487218.62</v>
      </c>
      <c r="M56" s="794">
        <f t="shared" si="9"/>
        <v>183484.16</v>
      </c>
    </row>
    <row r="57" spans="1:13" ht="15">
      <c r="A57" s="776" t="s">
        <v>1025</v>
      </c>
      <c r="B57" s="807">
        <f t="shared" ref="B57:K57" si="19">B81+B101</f>
        <v>100000</v>
      </c>
      <c r="C57" s="2483">
        <f t="shared" si="19"/>
        <v>0</v>
      </c>
      <c r="D57" s="807">
        <f t="shared" si="19"/>
        <v>65000</v>
      </c>
      <c r="E57" s="2483">
        <f t="shared" si="19"/>
        <v>7000</v>
      </c>
      <c r="F57" s="807">
        <f t="shared" si="19"/>
        <v>192400</v>
      </c>
      <c r="G57" s="2483">
        <f t="shared" si="19"/>
        <v>73427.289999999994</v>
      </c>
      <c r="H57" s="807">
        <f t="shared" si="19"/>
        <v>100000</v>
      </c>
      <c r="I57" s="2483">
        <f t="shared" si="19"/>
        <v>30000</v>
      </c>
      <c r="J57" s="807">
        <f t="shared" si="19"/>
        <v>53628.21</v>
      </c>
      <c r="K57" s="2483">
        <f t="shared" si="19"/>
        <v>53628.21</v>
      </c>
      <c r="L57" s="807">
        <f t="shared" si="8"/>
        <v>511028.21</v>
      </c>
      <c r="M57" s="794">
        <f t="shared" si="9"/>
        <v>164055.5</v>
      </c>
    </row>
    <row r="58" spans="1:13" ht="15">
      <c r="A58" s="776" t="s">
        <v>56</v>
      </c>
      <c r="B58" s="807">
        <f t="shared" ref="B58:K58" si="20">B102</f>
        <v>100000</v>
      </c>
      <c r="C58" s="2483">
        <f t="shared" si="20"/>
        <v>72655.490000000005</v>
      </c>
      <c r="D58" s="807">
        <f t="shared" si="20"/>
        <v>650000</v>
      </c>
      <c r="E58" s="2483">
        <f t="shared" si="20"/>
        <v>227898.71</v>
      </c>
      <c r="F58" s="807">
        <f t="shared" si="20"/>
        <v>400000</v>
      </c>
      <c r="G58" s="2483">
        <f t="shared" si="20"/>
        <v>47786.39</v>
      </c>
      <c r="H58" s="807">
        <f t="shared" si="20"/>
        <v>105700</v>
      </c>
      <c r="I58" s="2483">
        <f t="shared" si="20"/>
        <v>78788.509999999995</v>
      </c>
      <c r="J58" s="807">
        <f t="shared" si="20"/>
        <v>254700.67</v>
      </c>
      <c r="K58" s="2483">
        <f t="shared" si="20"/>
        <v>92455.93</v>
      </c>
      <c r="L58" s="807">
        <f t="shared" si="8"/>
        <v>1510400.67</v>
      </c>
      <c r="M58" s="794">
        <f t="shared" si="9"/>
        <v>519585.03</v>
      </c>
    </row>
    <row r="59" spans="1:13" ht="15">
      <c r="A59" s="776" t="s">
        <v>1026</v>
      </c>
      <c r="B59" s="807"/>
      <c r="C59" s="2483"/>
      <c r="D59" s="807"/>
      <c r="E59" s="2483"/>
      <c r="F59" s="807"/>
      <c r="G59" s="2483"/>
      <c r="H59" s="807"/>
      <c r="I59" s="2483"/>
      <c r="J59" s="807"/>
      <c r="K59" s="2483"/>
      <c r="L59" s="807">
        <f t="shared" si="8"/>
        <v>0</v>
      </c>
      <c r="M59" s="794">
        <f t="shared" si="9"/>
        <v>0</v>
      </c>
    </row>
    <row r="60" spans="1:13" ht="15">
      <c r="A60" s="776" t="s">
        <v>1027</v>
      </c>
      <c r="B60" s="807">
        <f t="shared" ref="B60:K60" si="21">B96+B103</f>
        <v>110000</v>
      </c>
      <c r="C60" s="2483">
        <f t="shared" si="21"/>
        <v>16646</v>
      </c>
      <c r="D60" s="807">
        <f t="shared" si="21"/>
        <v>495500</v>
      </c>
      <c r="E60" s="2483">
        <f t="shared" si="21"/>
        <v>669.48</v>
      </c>
      <c r="F60" s="807">
        <f t="shared" si="21"/>
        <v>120000</v>
      </c>
      <c r="G60" s="2483">
        <f t="shared" si="21"/>
        <v>0</v>
      </c>
      <c r="H60" s="807">
        <f t="shared" si="21"/>
        <v>42400</v>
      </c>
      <c r="I60" s="2483">
        <f t="shared" si="21"/>
        <v>26296.99</v>
      </c>
      <c r="J60" s="807">
        <f t="shared" si="21"/>
        <v>0</v>
      </c>
      <c r="K60" s="2483">
        <f t="shared" si="21"/>
        <v>0</v>
      </c>
      <c r="L60" s="807">
        <f t="shared" si="8"/>
        <v>767900</v>
      </c>
      <c r="M60" s="794">
        <f t="shared" si="9"/>
        <v>43612.47</v>
      </c>
    </row>
    <row r="61" spans="1:13" ht="15">
      <c r="A61" s="776" t="s">
        <v>1028</v>
      </c>
      <c r="B61" s="807">
        <f>B79+B104+B97</f>
        <v>440000</v>
      </c>
      <c r="C61" s="2483">
        <f>C79+C104+C97</f>
        <v>55480</v>
      </c>
      <c r="D61" s="807">
        <f>D79+D104+D97+D82</f>
        <v>61430</v>
      </c>
      <c r="E61" s="2483">
        <f>E79+E104+E97</f>
        <v>25249.599999999999</v>
      </c>
      <c r="F61" s="807">
        <f>F79+F104+F97+F82</f>
        <v>157000</v>
      </c>
      <c r="G61" s="2483">
        <f>G79+G104+G97</f>
        <v>28560</v>
      </c>
      <c r="H61" s="807">
        <f>H79+H104+H97</f>
        <v>62900</v>
      </c>
      <c r="I61" s="2483">
        <f>I79+I104+I97</f>
        <v>37103.869999999995</v>
      </c>
      <c r="J61" s="807">
        <f>J79+J104+J97</f>
        <v>37987.5</v>
      </c>
      <c r="K61" s="2483">
        <f>K79+K104+K97</f>
        <v>27205.19</v>
      </c>
      <c r="L61" s="807">
        <f t="shared" si="8"/>
        <v>759317.5</v>
      </c>
      <c r="M61" s="794">
        <f t="shared" si="9"/>
        <v>173598.66</v>
      </c>
    </row>
    <row r="62" spans="1:13" ht="15">
      <c r="A62" s="776" t="s">
        <v>750</v>
      </c>
      <c r="B62" s="807"/>
      <c r="C62" s="2483"/>
      <c r="D62" s="807"/>
      <c r="E62" s="2483"/>
      <c r="F62" s="807"/>
      <c r="G62" s="2483"/>
      <c r="H62" s="807"/>
      <c r="I62" s="2483"/>
      <c r="J62" s="807"/>
      <c r="K62" s="2483"/>
      <c r="L62" s="807">
        <f t="shared" si="8"/>
        <v>0</v>
      </c>
      <c r="M62" s="794">
        <f t="shared" si="9"/>
        <v>0</v>
      </c>
    </row>
    <row r="63" spans="1:13" ht="15">
      <c r="A63" s="776" t="s">
        <v>60</v>
      </c>
      <c r="B63" s="807">
        <f>B83+B108+B109+B112+B114+B105+B110</f>
        <v>2161600</v>
      </c>
      <c r="C63" s="807">
        <f>C83+C108+C109+C112+C114+C105+C110</f>
        <v>1296294.3599999999</v>
      </c>
      <c r="D63" s="807">
        <f>D83+D108+D109+D112+D114+D105</f>
        <v>41000</v>
      </c>
      <c r="E63" s="2483">
        <f>E83+E108+E109+E112+E114+E84+E105</f>
        <v>2209.7600000000002</v>
      </c>
      <c r="F63" s="807">
        <f>F83+F108+F109+F112+F114</f>
        <v>35200</v>
      </c>
      <c r="G63" s="2483">
        <f>G83+G108+G109+G112+G114</f>
        <v>4877.92</v>
      </c>
      <c r="H63" s="807">
        <f>H83+H108+H109+H112+H114+H105</f>
        <v>15000</v>
      </c>
      <c r="I63" s="2483">
        <f>I83+I108+I109+I112+I114</f>
        <v>2105</v>
      </c>
      <c r="J63" s="807">
        <f>J83+J108+J109+J112+J114</f>
        <v>23000</v>
      </c>
      <c r="K63" s="2483">
        <f>K83+K108+K109+K112+K114</f>
        <v>1466.38</v>
      </c>
      <c r="L63" s="807">
        <f t="shared" si="8"/>
        <v>2275800</v>
      </c>
      <c r="M63" s="794">
        <f t="shared" si="9"/>
        <v>1306953.4199999997</v>
      </c>
    </row>
    <row r="64" spans="1:13" ht="15">
      <c r="A64" s="351">
        <v>310</v>
      </c>
      <c r="B64" s="807">
        <f>B84+B98+B106</f>
        <v>80000</v>
      </c>
      <c r="C64" s="2483">
        <f>C84+C98+C106</f>
        <v>0</v>
      </c>
      <c r="D64" s="807">
        <f>D84+D98+D106</f>
        <v>497670</v>
      </c>
      <c r="E64" s="2483">
        <f>E98+E106</f>
        <v>9228</v>
      </c>
      <c r="F64" s="807">
        <f t="shared" ref="F64:K64" si="22">F84+F98+F106</f>
        <v>165000</v>
      </c>
      <c r="G64" s="2483">
        <f t="shared" si="22"/>
        <v>0</v>
      </c>
      <c r="H64" s="807">
        <f t="shared" si="22"/>
        <v>50000</v>
      </c>
      <c r="I64" s="2483">
        <f t="shared" si="22"/>
        <v>15400</v>
      </c>
      <c r="J64" s="807">
        <f t="shared" si="22"/>
        <v>0</v>
      </c>
      <c r="K64" s="2483">
        <f t="shared" si="22"/>
        <v>0</v>
      </c>
      <c r="L64" s="807">
        <f t="shared" si="8"/>
        <v>792670</v>
      </c>
      <c r="M64" s="794">
        <f t="shared" si="9"/>
        <v>24628</v>
      </c>
    </row>
    <row r="65" spans="1:13" ht="15.75" thickBot="1">
      <c r="A65" s="351">
        <v>340</v>
      </c>
      <c r="B65" s="2489">
        <f t="shared" ref="B65:K65" si="23">B85+B99+B107+B116</f>
        <v>514000</v>
      </c>
      <c r="C65" s="2490">
        <f t="shared" si="23"/>
        <v>68460</v>
      </c>
      <c r="D65" s="2489">
        <f t="shared" si="23"/>
        <v>64700</v>
      </c>
      <c r="E65" s="2490">
        <f t="shared" si="23"/>
        <v>15115</v>
      </c>
      <c r="F65" s="2489">
        <f t="shared" si="23"/>
        <v>455700</v>
      </c>
      <c r="G65" s="2490">
        <f t="shared" si="23"/>
        <v>22250</v>
      </c>
      <c r="H65" s="2489">
        <f t="shared" si="23"/>
        <v>200700</v>
      </c>
      <c r="I65" s="2490">
        <f t="shared" si="23"/>
        <v>46528</v>
      </c>
      <c r="J65" s="2489">
        <f t="shared" si="23"/>
        <v>76165</v>
      </c>
      <c r="K65" s="2490">
        <f t="shared" si="23"/>
        <v>75465</v>
      </c>
      <c r="L65" s="2489">
        <f t="shared" si="8"/>
        <v>1311265</v>
      </c>
      <c r="M65" s="2491">
        <f t="shared" si="9"/>
        <v>227818</v>
      </c>
    </row>
    <row r="66" spans="1:13" ht="15">
      <c r="A66" s="911"/>
      <c r="B66" s="912"/>
      <c r="C66" s="912"/>
      <c r="D66" s="912"/>
      <c r="E66" s="912"/>
      <c r="F66" s="912"/>
      <c r="G66" s="912"/>
      <c r="H66" s="912"/>
      <c r="I66" s="912"/>
      <c r="J66" s="912"/>
      <c r="K66" s="912"/>
      <c r="L66" s="912"/>
      <c r="M66" s="912"/>
    </row>
    <row r="67" spans="1:13" ht="15">
      <c r="A67" s="911"/>
      <c r="B67" s="912"/>
      <c r="C67" s="912"/>
      <c r="D67" s="912"/>
      <c r="E67" s="912"/>
      <c r="F67" s="912"/>
      <c r="G67" s="912"/>
      <c r="H67" s="912"/>
      <c r="I67" s="912"/>
      <c r="J67" s="912"/>
      <c r="K67" s="912"/>
      <c r="L67" s="912"/>
      <c r="M67" s="912"/>
    </row>
    <row r="68" spans="1:13" ht="15">
      <c r="A68" s="352"/>
      <c r="B68" s="2645" t="s">
        <v>1280</v>
      </c>
      <c r="C68" s="2650"/>
      <c r="D68" s="2645" t="s">
        <v>1281</v>
      </c>
      <c r="E68" s="2650"/>
      <c r="F68" s="2645" t="s">
        <v>1282</v>
      </c>
      <c r="G68" s="2650"/>
      <c r="H68" s="2645" t="s">
        <v>1283</v>
      </c>
      <c r="I68" s="2650"/>
      <c r="J68" s="2645" t="s">
        <v>1284</v>
      </c>
      <c r="K68" s="2646"/>
      <c r="L68" s="822" t="s">
        <v>36</v>
      </c>
      <c r="M68" s="785" t="s">
        <v>844</v>
      </c>
    </row>
    <row r="69" spans="1:13" ht="15.75" thickBot="1">
      <c r="A69" s="2405"/>
      <c r="B69" s="2406" t="s">
        <v>1450</v>
      </c>
      <c r="C69" s="2407" t="s">
        <v>1451</v>
      </c>
      <c r="D69" s="2406" t="s">
        <v>1450</v>
      </c>
      <c r="E69" s="2407" t="s">
        <v>1451</v>
      </c>
      <c r="F69" s="2406" t="s">
        <v>1450</v>
      </c>
      <c r="G69" s="2407" t="s">
        <v>1451</v>
      </c>
      <c r="H69" s="2406" t="s">
        <v>1450</v>
      </c>
      <c r="I69" s="2407" t="s">
        <v>1451</v>
      </c>
      <c r="J69" s="2406" t="s">
        <v>1450</v>
      </c>
      <c r="K69" s="2408" t="s">
        <v>1451</v>
      </c>
      <c r="L69" s="2409" t="s">
        <v>1450</v>
      </c>
      <c r="M69" s="2408" t="s">
        <v>1451</v>
      </c>
    </row>
    <row r="70" spans="1:13" ht="16.5" thickBot="1">
      <c r="A70" s="2559">
        <v>102</v>
      </c>
      <c r="B70" s="2557">
        <f t="shared" ref="B70:I70" si="24">B71+B72+B73</f>
        <v>1671450</v>
      </c>
      <c r="C70" s="2560">
        <f t="shared" si="24"/>
        <v>361745.1</v>
      </c>
      <c r="D70" s="2557">
        <f t="shared" si="24"/>
        <v>775600</v>
      </c>
      <c r="E70" s="2560">
        <f t="shared" si="24"/>
        <v>190148.1</v>
      </c>
      <c r="F70" s="2557">
        <f t="shared" si="24"/>
        <v>772400.35</v>
      </c>
      <c r="G70" s="2560">
        <f t="shared" si="24"/>
        <v>164412.85999999999</v>
      </c>
      <c r="H70" s="2557">
        <f t="shared" si="24"/>
        <v>764100</v>
      </c>
      <c r="I70" s="2560">
        <f t="shared" si="24"/>
        <v>298014.52</v>
      </c>
      <c r="J70" s="2557">
        <f>SUM(J71:J73)</f>
        <v>718000</v>
      </c>
      <c r="K70" s="2560">
        <f>K71+K72+K73</f>
        <v>111075.87</v>
      </c>
      <c r="L70" s="2561">
        <f t="shared" si="8"/>
        <v>4701550.3499999996</v>
      </c>
      <c r="M70" s="2562">
        <f t="shared" si="9"/>
        <v>1125396.45</v>
      </c>
    </row>
    <row r="71" spans="1:13" ht="15">
      <c r="A71" s="2410" t="s">
        <v>2697</v>
      </c>
      <c r="B71" s="2401">
        <v>1342000</v>
      </c>
      <c r="C71" s="2404">
        <v>288140.40999999997</v>
      </c>
      <c r="D71" s="2401">
        <v>584200</v>
      </c>
      <c r="E71" s="2404">
        <v>146043.09</v>
      </c>
      <c r="F71" s="2401">
        <v>554838.35</v>
      </c>
      <c r="G71" s="2404">
        <v>130202.64</v>
      </c>
      <c r="H71" s="2401">
        <v>510100</v>
      </c>
      <c r="I71" s="2404">
        <v>160390.16</v>
      </c>
      <c r="J71" s="2401">
        <v>500000</v>
      </c>
      <c r="K71" s="2404">
        <v>84232.34</v>
      </c>
      <c r="L71" s="2403">
        <f t="shared" si="8"/>
        <v>3491138.35</v>
      </c>
      <c r="M71" s="2404">
        <f t="shared" si="9"/>
        <v>809008.64000000001</v>
      </c>
    </row>
    <row r="72" spans="1:13" ht="15">
      <c r="A72" s="2396" t="s">
        <v>2698</v>
      </c>
      <c r="B72" s="2313">
        <v>17450</v>
      </c>
      <c r="C72" s="2315">
        <v>17450</v>
      </c>
      <c r="D72" s="2313">
        <v>15000</v>
      </c>
      <c r="E72" s="2315"/>
      <c r="F72" s="2313">
        <v>50000</v>
      </c>
      <c r="G72" s="2315"/>
      <c r="H72" s="2313">
        <v>99900</v>
      </c>
      <c r="I72" s="2315">
        <v>90000</v>
      </c>
      <c r="J72" s="2313"/>
      <c r="K72" s="2315"/>
      <c r="L72" s="2314">
        <f t="shared" si="8"/>
        <v>182350</v>
      </c>
      <c r="M72" s="2315">
        <f t="shared" si="9"/>
        <v>107450</v>
      </c>
    </row>
    <row r="73" spans="1:13" ht="15.75" thickBot="1">
      <c r="A73" s="2412" t="s">
        <v>3292</v>
      </c>
      <c r="B73" s="2413">
        <v>312000</v>
      </c>
      <c r="C73" s="2415">
        <v>56154.69</v>
      </c>
      <c r="D73" s="2413">
        <v>176400</v>
      </c>
      <c r="E73" s="2415">
        <v>44105.01</v>
      </c>
      <c r="F73" s="2413">
        <v>167562</v>
      </c>
      <c r="G73" s="2415">
        <v>34210.22</v>
      </c>
      <c r="H73" s="2413">
        <v>154100</v>
      </c>
      <c r="I73" s="2415">
        <v>47624.36</v>
      </c>
      <c r="J73" s="2413">
        <v>218000</v>
      </c>
      <c r="K73" s="2415">
        <v>26843.53</v>
      </c>
      <c r="L73" s="2416">
        <f t="shared" si="8"/>
        <v>1028062</v>
      </c>
      <c r="M73" s="2415">
        <f t="shared" si="9"/>
        <v>208937.81000000003</v>
      </c>
    </row>
    <row r="74" spans="1:13" ht="16.5" thickBot="1">
      <c r="A74" s="2559">
        <v>103</v>
      </c>
      <c r="B74" s="2563">
        <f>B79+B80+B81+B82+B83+B84+B85</f>
        <v>0</v>
      </c>
      <c r="C74" s="2564">
        <f t="shared" ref="C74:K74" si="25">C79+C80+C81+C82+C83+C84+C85</f>
        <v>0</v>
      </c>
      <c r="D74" s="2563">
        <f t="shared" si="25"/>
        <v>20000</v>
      </c>
      <c r="E74" s="2564">
        <f t="shared" si="25"/>
        <v>0</v>
      </c>
      <c r="F74" s="2563">
        <f t="shared" si="25"/>
        <v>39400</v>
      </c>
      <c r="G74" s="2564">
        <f t="shared" si="25"/>
        <v>6700</v>
      </c>
      <c r="H74" s="2563">
        <f t="shared" si="25"/>
        <v>0</v>
      </c>
      <c r="I74" s="2564">
        <f t="shared" si="25"/>
        <v>0</v>
      </c>
      <c r="J74" s="2563">
        <f t="shared" si="25"/>
        <v>0</v>
      </c>
      <c r="K74" s="2564">
        <f t="shared" si="25"/>
        <v>0</v>
      </c>
      <c r="L74" s="2561">
        <f>B74+D74+F74+H74+J74</f>
        <v>59400</v>
      </c>
      <c r="M74" s="2562">
        <f t="shared" si="9"/>
        <v>6700</v>
      </c>
    </row>
    <row r="75" spans="1:13" ht="15.75">
      <c r="A75" s="2426" t="s">
        <v>3408</v>
      </c>
      <c r="B75" s="2427">
        <f t="shared" ref="B75:K75" si="26">B80</f>
        <v>0</v>
      </c>
      <c r="C75" s="2497">
        <f t="shared" si="26"/>
        <v>0</v>
      </c>
      <c r="D75" s="2427">
        <f t="shared" si="26"/>
        <v>0</v>
      </c>
      <c r="E75" s="2497">
        <f t="shared" si="26"/>
        <v>0</v>
      </c>
      <c r="F75" s="2427">
        <f t="shared" si="26"/>
        <v>5000</v>
      </c>
      <c r="G75" s="2497">
        <f t="shared" si="26"/>
        <v>0</v>
      </c>
      <c r="H75" s="2427">
        <f t="shared" si="26"/>
        <v>0</v>
      </c>
      <c r="I75" s="2497">
        <f t="shared" si="26"/>
        <v>0</v>
      </c>
      <c r="J75" s="2427">
        <f t="shared" si="26"/>
        <v>0</v>
      </c>
      <c r="K75" s="2497">
        <f t="shared" si="26"/>
        <v>0</v>
      </c>
      <c r="L75" s="2314">
        <f t="shared" si="8"/>
        <v>5000</v>
      </c>
      <c r="M75" s="2315">
        <f t="shared" si="9"/>
        <v>0</v>
      </c>
    </row>
    <row r="76" spans="1:13" ht="15">
      <c r="A76" s="2417" t="s">
        <v>3404</v>
      </c>
      <c r="B76" s="2418">
        <f t="shared" ref="B76:K76" si="27">B79</f>
        <v>0</v>
      </c>
      <c r="C76" s="2498">
        <f t="shared" si="27"/>
        <v>0</v>
      </c>
      <c r="D76" s="2418">
        <f t="shared" si="27"/>
        <v>0</v>
      </c>
      <c r="E76" s="2498">
        <f t="shared" si="27"/>
        <v>0</v>
      </c>
      <c r="F76" s="2418">
        <f t="shared" si="27"/>
        <v>7000</v>
      </c>
      <c r="G76" s="2498">
        <f t="shared" si="27"/>
        <v>6700</v>
      </c>
      <c r="H76" s="2418">
        <f t="shared" si="27"/>
        <v>0</v>
      </c>
      <c r="I76" s="2498">
        <f t="shared" si="27"/>
        <v>0</v>
      </c>
      <c r="J76" s="2418">
        <f t="shared" si="27"/>
        <v>0</v>
      </c>
      <c r="K76" s="2498">
        <f t="shared" si="27"/>
        <v>0</v>
      </c>
      <c r="L76" s="2314">
        <f t="shared" si="8"/>
        <v>7000</v>
      </c>
      <c r="M76" s="2315">
        <f t="shared" si="9"/>
        <v>6700</v>
      </c>
    </row>
    <row r="77" spans="1:13" ht="15">
      <c r="A77" s="2398" t="s">
        <v>3405</v>
      </c>
      <c r="B77" s="2399">
        <f t="shared" ref="B77:K77" si="28">B81+B82+B83+B85</f>
        <v>0</v>
      </c>
      <c r="C77" s="2499">
        <f t="shared" si="28"/>
        <v>0</v>
      </c>
      <c r="D77" s="2399">
        <f t="shared" si="28"/>
        <v>20000</v>
      </c>
      <c r="E77" s="2499">
        <f t="shared" si="28"/>
        <v>0</v>
      </c>
      <c r="F77" s="2399">
        <f t="shared" si="28"/>
        <v>27400</v>
      </c>
      <c r="G77" s="2499">
        <f t="shared" si="28"/>
        <v>0</v>
      </c>
      <c r="H77" s="2399">
        <f t="shared" si="28"/>
        <v>0</v>
      </c>
      <c r="I77" s="2499">
        <f t="shared" si="28"/>
        <v>0</v>
      </c>
      <c r="J77" s="2399">
        <f t="shared" si="28"/>
        <v>0</v>
      </c>
      <c r="K77" s="2499">
        <f t="shared" si="28"/>
        <v>0</v>
      </c>
      <c r="L77" s="2314">
        <f t="shared" si="8"/>
        <v>47400</v>
      </c>
      <c r="M77" s="2315">
        <f t="shared" si="9"/>
        <v>0</v>
      </c>
    </row>
    <row r="78" spans="1:13" ht="15">
      <c r="A78" s="2398" t="s">
        <v>3406</v>
      </c>
      <c r="B78" s="2399">
        <f t="shared" ref="B78:K78" si="29">B84</f>
        <v>0</v>
      </c>
      <c r="C78" s="2499">
        <f t="shared" si="29"/>
        <v>0</v>
      </c>
      <c r="D78" s="2399">
        <f t="shared" si="29"/>
        <v>0</v>
      </c>
      <c r="E78" s="2499">
        <f t="shared" si="29"/>
        <v>0</v>
      </c>
      <c r="F78" s="2399">
        <f t="shared" si="29"/>
        <v>0</v>
      </c>
      <c r="G78" s="2499">
        <f t="shared" si="29"/>
        <v>0</v>
      </c>
      <c r="H78" s="2399">
        <f t="shared" si="29"/>
        <v>0</v>
      </c>
      <c r="I78" s="2499">
        <f t="shared" si="29"/>
        <v>0</v>
      </c>
      <c r="J78" s="2399">
        <f t="shared" si="29"/>
        <v>0</v>
      </c>
      <c r="K78" s="2499">
        <f t="shared" si="29"/>
        <v>0</v>
      </c>
      <c r="L78" s="2314">
        <f t="shared" si="8"/>
        <v>0</v>
      </c>
      <c r="M78" s="2315">
        <f t="shared" si="9"/>
        <v>0</v>
      </c>
    </row>
    <row r="79" spans="1:13" ht="15">
      <c r="A79" s="829" t="s">
        <v>2762</v>
      </c>
      <c r="B79" s="807"/>
      <c r="C79" s="794"/>
      <c r="D79" s="838"/>
      <c r="E79" s="794"/>
      <c r="F79" s="807">
        <v>7000</v>
      </c>
      <c r="G79" s="794">
        <v>6700</v>
      </c>
      <c r="H79" s="807"/>
      <c r="I79" s="794"/>
      <c r="J79" s="807"/>
      <c r="K79" s="2483"/>
      <c r="L79" s="808">
        <f t="shared" si="8"/>
        <v>7000</v>
      </c>
      <c r="M79" s="794">
        <f t="shared" si="9"/>
        <v>6700</v>
      </c>
    </row>
    <row r="80" spans="1:13" ht="15">
      <c r="A80" s="829" t="s">
        <v>2763</v>
      </c>
      <c r="B80" s="807"/>
      <c r="C80" s="794"/>
      <c r="D80" s="838"/>
      <c r="E80" s="794"/>
      <c r="F80" s="807">
        <v>5000</v>
      </c>
      <c r="G80" s="794"/>
      <c r="H80" s="807"/>
      <c r="I80" s="794"/>
      <c r="J80" s="807"/>
      <c r="K80" s="794"/>
      <c r="L80" s="808">
        <f t="shared" si="8"/>
        <v>5000</v>
      </c>
      <c r="M80" s="794">
        <f t="shared" si="9"/>
        <v>0</v>
      </c>
    </row>
    <row r="81" spans="1:13" ht="15">
      <c r="A81" s="829" t="s">
        <v>2699</v>
      </c>
      <c r="B81" s="807"/>
      <c r="C81" s="794"/>
      <c r="D81" s="838">
        <v>15000</v>
      </c>
      <c r="E81" s="794"/>
      <c r="F81" s="807">
        <v>22400</v>
      </c>
      <c r="G81" s="794"/>
      <c r="H81" s="807"/>
      <c r="I81" s="794"/>
      <c r="J81" s="807"/>
      <c r="K81" s="794"/>
      <c r="L81" s="808">
        <f t="shared" si="8"/>
        <v>37400</v>
      </c>
      <c r="M81" s="794">
        <f t="shared" si="9"/>
        <v>0</v>
      </c>
    </row>
    <row r="82" spans="1:13" ht="15">
      <c r="A82" s="829" t="s">
        <v>2717</v>
      </c>
      <c r="B82" s="807"/>
      <c r="C82" s="794"/>
      <c r="D82" s="838"/>
      <c r="E82" s="794"/>
      <c r="F82" s="807"/>
      <c r="G82" s="794"/>
      <c r="H82" s="807"/>
      <c r="I82" s="794"/>
      <c r="J82" s="807"/>
      <c r="K82" s="794"/>
      <c r="L82" s="808">
        <f t="shared" si="8"/>
        <v>0</v>
      </c>
      <c r="M82" s="794">
        <f t="shared" si="9"/>
        <v>0</v>
      </c>
    </row>
    <row r="83" spans="1:13" ht="15">
      <c r="A83" s="829" t="s">
        <v>2700</v>
      </c>
      <c r="B83" s="807"/>
      <c r="C83" s="794"/>
      <c r="D83" s="838">
        <v>1000</v>
      </c>
      <c r="E83" s="794"/>
      <c r="F83" s="807"/>
      <c r="G83" s="794"/>
      <c r="H83" s="807"/>
      <c r="I83" s="794"/>
      <c r="J83" s="807"/>
      <c r="K83" s="794"/>
      <c r="L83" s="808">
        <f t="shared" si="8"/>
        <v>1000</v>
      </c>
      <c r="M83" s="794">
        <f t="shared" si="9"/>
        <v>0</v>
      </c>
    </row>
    <row r="84" spans="1:13" ht="15">
      <c r="A84" s="829" t="s">
        <v>2713</v>
      </c>
      <c r="B84" s="807"/>
      <c r="C84" s="794"/>
      <c r="D84" s="838"/>
      <c r="E84" s="794"/>
      <c r="F84" s="807"/>
      <c r="G84" s="794"/>
      <c r="H84" s="807"/>
      <c r="I84" s="794"/>
      <c r="J84" s="807"/>
      <c r="K84" s="794"/>
      <c r="L84" s="808">
        <f t="shared" si="8"/>
        <v>0</v>
      </c>
      <c r="M84" s="794">
        <f t="shared" si="9"/>
        <v>0</v>
      </c>
    </row>
    <row r="85" spans="1:13" ht="15.75" thickBot="1">
      <c r="A85" s="2419" t="s">
        <v>2719</v>
      </c>
      <c r="B85" s="2420"/>
      <c r="C85" s="2423"/>
      <c r="D85" s="2422">
        <v>4000</v>
      </c>
      <c r="E85" s="2423"/>
      <c r="F85" s="2420">
        <v>5000</v>
      </c>
      <c r="G85" s="2423"/>
      <c r="H85" s="2420"/>
      <c r="I85" s="2423"/>
      <c r="J85" s="2420"/>
      <c r="K85" s="2423"/>
      <c r="L85" s="2424">
        <f t="shared" si="8"/>
        <v>9000</v>
      </c>
      <c r="M85" s="2423">
        <f t="shared" si="9"/>
        <v>0</v>
      </c>
    </row>
    <row r="86" spans="1:13" ht="16.5" thickBot="1">
      <c r="A86" s="2559">
        <v>104</v>
      </c>
      <c r="B86" s="2565">
        <f>B87+B88+B89+B95+B96+B97+B98+B99+B100+B101+B102+B103+B104+B105+B106+B107+B108+B109+J105+B110</f>
        <v>12864600</v>
      </c>
      <c r="C86" s="2565">
        <f>C87+C88+C89+C95+C96+C97+C98+C99+C100+C101+C102+C103+C104+C105+C106+C107+C108+C109+K105+C110</f>
        <v>4036374.73</v>
      </c>
      <c r="D86" s="2565">
        <f t="shared" ref="D86:K86" si="30">D87+D88+D89+D95+D96+D97+D98+D99+D100+D101+D102+D103+D104+D105+D106+D107+D108+D109</f>
        <v>6094500</v>
      </c>
      <c r="E86" s="2566">
        <f t="shared" si="30"/>
        <v>1200968.6700000002</v>
      </c>
      <c r="F86" s="2565">
        <f t="shared" si="30"/>
        <v>5096300</v>
      </c>
      <c r="G86" s="2566">
        <f t="shared" si="30"/>
        <v>700334.25000000012</v>
      </c>
      <c r="H86" s="2565">
        <f t="shared" si="30"/>
        <v>4246400</v>
      </c>
      <c r="I86" s="2566">
        <f t="shared" si="30"/>
        <v>941674.44</v>
      </c>
      <c r="J86" s="2565">
        <f t="shared" si="30"/>
        <v>2357000</v>
      </c>
      <c r="K86" s="2566">
        <f t="shared" si="30"/>
        <v>679322.18</v>
      </c>
      <c r="L86" s="2561">
        <f t="shared" si="8"/>
        <v>30658800</v>
      </c>
      <c r="M86" s="2562">
        <f t="shared" si="9"/>
        <v>7558674.2699999996</v>
      </c>
    </row>
    <row r="87" spans="1:13" ht="15">
      <c r="A87" s="2410" t="s">
        <v>2697</v>
      </c>
      <c r="B87" s="2401">
        <v>6959000</v>
      </c>
      <c r="C87" s="2404">
        <v>1853266.72</v>
      </c>
      <c r="D87" s="2401">
        <v>3133600</v>
      </c>
      <c r="E87" s="2404">
        <v>659408.42000000004</v>
      </c>
      <c r="F87" s="2401">
        <v>2450200</v>
      </c>
      <c r="G87" s="2404">
        <v>412096.69</v>
      </c>
      <c r="H87" s="2401">
        <v>2515400</v>
      </c>
      <c r="I87" s="2404">
        <v>504824.38</v>
      </c>
      <c r="J87" s="2401">
        <v>1200000</v>
      </c>
      <c r="K87" s="2404">
        <v>244050.98</v>
      </c>
      <c r="L87" s="2403">
        <f t="shared" si="8"/>
        <v>16258200</v>
      </c>
      <c r="M87" s="2404">
        <f t="shared" si="9"/>
        <v>3673647.19</v>
      </c>
    </row>
    <row r="88" spans="1:13" ht="15">
      <c r="A88" s="2396" t="s">
        <v>3292</v>
      </c>
      <c r="B88" s="2313">
        <v>1900000</v>
      </c>
      <c r="C88" s="2315">
        <v>589716.56999999995</v>
      </c>
      <c r="D88" s="2313">
        <v>946300</v>
      </c>
      <c r="E88" s="2315">
        <v>189308.7</v>
      </c>
      <c r="F88" s="2313">
        <v>830000</v>
      </c>
      <c r="G88" s="2315">
        <v>101996.75</v>
      </c>
      <c r="H88" s="2313">
        <v>755000</v>
      </c>
      <c r="I88" s="2315">
        <v>81855.59</v>
      </c>
      <c r="J88" s="2313">
        <v>363000</v>
      </c>
      <c r="K88" s="2315">
        <v>19911.87</v>
      </c>
      <c r="L88" s="2314">
        <f t="shared" si="8"/>
        <v>4794300</v>
      </c>
      <c r="M88" s="2315">
        <f t="shared" si="9"/>
        <v>982789.48</v>
      </c>
    </row>
    <row r="89" spans="1:13" ht="15">
      <c r="A89" s="2396" t="s">
        <v>2698</v>
      </c>
      <c r="B89" s="2313">
        <v>300000</v>
      </c>
      <c r="C89" s="2315">
        <v>41158.65</v>
      </c>
      <c r="D89" s="2313">
        <v>130000</v>
      </c>
      <c r="E89" s="2315">
        <v>60000</v>
      </c>
      <c r="F89" s="2313">
        <v>240900</v>
      </c>
      <c r="G89" s="2315">
        <v>7393.71</v>
      </c>
      <c r="H89" s="2313">
        <v>300000</v>
      </c>
      <c r="I89" s="2315">
        <v>43730</v>
      </c>
      <c r="J89" s="2313">
        <v>300000</v>
      </c>
      <c r="K89" s="2315">
        <v>112920</v>
      </c>
      <c r="L89" s="2314">
        <f t="shared" si="8"/>
        <v>1270900</v>
      </c>
      <c r="M89" s="2315">
        <f t="shared" si="9"/>
        <v>265202.36</v>
      </c>
    </row>
    <row r="90" spans="1:13" ht="15">
      <c r="A90" s="2400" t="s">
        <v>3404</v>
      </c>
      <c r="B90" s="2428">
        <f t="shared" ref="B90:K90" si="31">B95+B96+B97+B98+B99</f>
        <v>714000</v>
      </c>
      <c r="C90" s="2488">
        <f t="shared" si="31"/>
        <v>64586.94</v>
      </c>
      <c r="D90" s="2428">
        <f t="shared" si="31"/>
        <v>90000</v>
      </c>
      <c r="E90" s="2488">
        <f t="shared" si="31"/>
        <v>22014</v>
      </c>
      <c r="F90" s="2313">
        <f t="shared" si="31"/>
        <v>300000</v>
      </c>
      <c r="G90" s="2488">
        <f t="shared" si="31"/>
        <v>18260</v>
      </c>
      <c r="H90" s="2313">
        <f t="shared" si="31"/>
        <v>268000</v>
      </c>
      <c r="I90" s="2488">
        <f t="shared" si="31"/>
        <v>99910.6</v>
      </c>
      <c r="J90" s="2313">
        <f t="shared" si="31"/>
        <v>60578.62</v>
      </c>
      <c r="K90" s="2488">
        <f t="shared" si="31"/>
        <v>60578.62</v>
      </c>
      <c r="L90" s="2314">
        <f t="shared" si="8"/>
        <v>1432578.62</v>
      </c>
      <c r="M90" s="2315">
        <f t="shared" si="9"/>
        <v>265350.16000000003</v>
      </c>
    </row>
    <row r="91" spans="1:13" ht="15">
      <c r="A91" s="2400" t="s">
        <v>3405</v>
      </c>
      <c r="B91" s="2428">
        <f t="shared" ref="B91:K91" si="32">B100+B101+B102+B103+B104+B105+B106+B107</f>
        <v>831000</v>
      </c>
      <c r="C91" s="2488">
        <f t="shared" si="32"/>
        <v>191351.49</v>
      </c>
      <c r="D91" s="2428">
        <f t="shared" si="32"/>
        <v>1774600</v>
      </c>
      <c r="E91" s="2488">
        <f t="shared" si="32"/>
        <v>268027.79000000004</v>
      </c>
      <c r="F91" s="2313">
        <f t="shared" si="32"/>
        <v>1245000</v>
      </c>
      <c r="G91" s="2488">
        <f t="shared" si="32"/>
        <v>155709.18</v>
      </c>
      <c r="H91" s="2313">
        <f t="shared" si="32"/>
        <v>398000</v>
      </c>
      <c r="I91" s="2488">
        <f t="shared" si="32"/>
        <v>209248.87</v>
      </c>
      <c r="J91" s="2313">
        <f t="shared" si="32"/>
        <v>413421.38</v>
      </c>
      <c r="K91" s="2488">
        <f t="shared" si="32"/>
        <v>240394.33</v>
      </c>
      <c r="L91" s="2314">
        <f t="shared" si="8"/>
        <v>4662021.38</v>
      </c>
      <c r="M91" s="2315">
        <f t="shared" si="9"/>
        <v>1064731.6599999999</v>
      </c>
    </row>
    <row r="92" spans="1:13" ht="15">
      <c r="A92" s="2400" t="s">
        <v>655</v>
      </c>
      <c r="B92" s="2428">
        <f t="shared" ref="B92:K92" si="33">B108</f>
        <v>2010600</v>
      </c>
      <c r="C92" s="2488">
        <f t="shared" si="33"/>
        <v>1186421.19</v>
      </c>
      <c r="D92" s="2428">
        <f t="shared" si="33"/>
        <v>0</v>
      </c>
      <c r="E92" s="2488">
        <f t="shared" si="33"/>
        <v>0</v>
      </c>
      <c r="F92" s="2313">
        <f t="shared" si="33"/>
        <v>10200</v>
      </c>
      <c r="G92" s="2488">
        <f t="shared" si="33"/>
        <v>0</v>
      </c>
      <c r="H92" s="2313">
        <f t="shared" si="33"/>
        <v>0</v>
      </c>
      <c r="I92" s="2488">
        <f t="shared" si="33"/>
        <v>0</v>
      </c>
      <c r="J92" s="2313">
        <f t="shared" si="33"/>
        <v>0</v>
      </c>
      <c r="K92" s="2488">
        <f t="shared" si="33"/>
        <v>0</v>
      </c>
      <c r="L92" s="2314">
        <f t="shared" si="8"/>
        <v>2020800</v>
      </c>
      <c r="M92" s="2315">
        <f t="shared" si="9"/>
        <v>1186421.19</v>
      </c>
    </row>
    <row r="93" spans="1:13" ht="15">
      <c r="A93" s="2400" t="s">
        <v>3406</v>
      </c>
      <c r="B93" s="2428">
        <f t="shared" ref="B93:K93" si="34">B109</f>
        <v>50000</v>
      </c>
      <c r="C93" s="2488">
        <f t="shared" si="34"/>
        <v>34790</v>
      </c>
      <c r="D93" s="2428">
        <f t="shared" si="34"/>
        <v>20000</v>
      </c>
      <c r="E93" s="2488">
        <f t="shared" si="34"/>
        <v>2209.7600000000002</v>
      </c>
      <c r="F93" s="2313">
        <f t="shared" si="34"/>
        <v>20000</v>
      </c>
      <c r="G93" s="2488">
        <f t="shared" si="34"/>
        <v>4877.92</v>
      </c>
      <c r="H93" s="2313">
        <f t="shared" si="34"/>
        <v>10000</v>
      </c>
      <c r="I93" s="2488">
        <f t="shared" si="34"/>
        <v>2105</v>
      </c>
      <c r="J93" s="2313">
        <f t="shared" si="34"/>
        <v>20000</v>
      </c>
      <c r="K93" s="2488">
        <f t="shared" si="34"/>
        <v>1466.38</v>
      </c>
      <c r="L93" s="2314">
        <f t="shared" si="8"/>
        <v>120000</v>
      </c>
      <c r="M93" s="2315">
        <f t="shared" si="9"/>
        <v>45449.06</v>
      </c>
    </row>
    <row r="94" spans="1:13" ht="15">
      <c r="A94" s="2400" t="s">
        <v>3430</v>
      </c>
      <c r="B94" s="2313">
        <f>B110</f>
        <v>100000</v>
      </c>
      <c r="C94" s="2488">
        <f>C110</f>
        <v>75083.17</v>
      </c>
      <c r="D94" s="2313"/>
      <c r="E94" s="2488"/>
      <c r="F94" s="2313"/>
      <c r="G94" s="2488"/>
      <c r="H94" s="2313"/>
      <c r="I94" s="2488"/>
      <c r="J94" s="2313"/>
      <c r="K94" s="2488"/>
      <c r="L94" s="2314">
        <f t="shared" si="8"/>
        <v>100000</v>
      </c>
      <c r="M94" s="2315">
        <f t="shared" si="9"/>
        <v>75083.17</v>
      </c>
    </row>
    <row r="95" spans="1:13" ht="15">
      <c r="A95" s="351" t="s">
        <v>2701</v>
      </c>
      <c r="B95" s="807">
        <v>200000</v>
      </c>
      <c r="C95" s="794">
        <v>42696.94</v>
      </c>
      <c r="D95" s="1904">
        <v>30000</v>
      </c>
      <c r="E95" s="794">
        <v>4200</v>
      </c>
      <c r="F95" s="838">
        <v>40000</v>
      </c>
      <c r="G95" s="794">
        <v>5800</v>
      </c>
      <c r="H95" s="807">
        <v>100000</v>
      </c>
      <c r="I95" s="794">
        <v>73150.600000000006</v>
      </c>
      <c r="J95" s="807">
        <v>52218.62</v>
      </c>
      <c r="K95" s="794">
        <v>52218.62</v>
      </c>
      <c r="L95" s="808">
        <f t="shared" si="8"/>
        <v>422218.62</v>
      </c>
      <c r="M95" s="794">
        <f t="shared" si="9"/>
        <v>178066.16</v>
      </c>
    </row>
    <row r="96" spans="1:13" ht="15">
      <c r="A96" s="351" t="s">
        <v>2702</v>
      </c>
      <c r="B96" s="807">
        <v>20000</v>
      </c>
      <c r="C96" s="794"/>
      <c r="D96" s="807">
        <v>5000</v>
      </c>
      <c r="E96" s="794">
        <v>476</v>
      </c>
      <c r="F96" s="838">
        <v>60000</v>
      </c>
      <c r="G96" s="794"/>
      <c r="H96" s="807">
        <v>3000</v>
      </c>
      <c r="I96" s="794"/>
      <c r="J96" s="807"/>
      <c r="K96" s="794"/>
      <c r="L96" s="808">
        <f t="shared" si="8"/>
        <v>88000</v>
      </c>
      <c r="M96" s="794">
        <f t="shared" si="9"/>
        <v>476</v>
      </c>
    </row>
    <row r="97" spans="1:13" ht="15">
      <c r="A97" s="351" t="s">
        <v>2703</v>
      </c>
      <c r="B97" s="807">
        <v>260000</v>
      </c>
      <c r="C97" s="794">
        <v>10880</v>
      </c>
      <c r="D97" s="807">
        <v>20000</v>
      </c>
      <c r="E97" s="794">
        <v>12350</v>
      </c>
      <c r="F97" s="838">
        <v>50000</v>
      </c>
      <c r="G97" s="794">
        <v>11360</v>
      </c>
      <c r="H97" s="807">
        <v>15000</v>
      </c>
      <c r="I97" s="794">
        <v>11060</v>
      </c>
      <c r="J97" s="807">
        <v>8360</v>
      </c>
      <c r="K97" s="794">
        <v>8360</v>
      </c>
      <c r="L97" s="808">
        <f t="shared" si="8"/>
        <v>353360</v>
      </c>
      <c r="M97" s="794">
        <f t="shared" si="9"/>
        <v>54010</v>
      </c>
    </row>
    <row r="98" spans="1:13" ht="15">
      <c r="A98" s="351" t="s">
        <v>2704</v>
      </c>
      <c r="B98" s="807"/>
      <c r="C98" s="794"/>
      <c r="D98" s="807">
        <v>25000</v>
      </c>
      <c r="E98" s="794">
        <v>4988</v>
      </c>
      <c r="F98" s="838">
        <v>100000</v>
      </c>
      <c r="G98" s="794"/>
      <c r="H98" s="807">
        <v>50000</v>
      </c>
      <c r="I98" s="794">
        <v>15400</v>
      </c>
      <c r="J98" s="807"/>
      <c r="K98" s="794"/>
      <c r="L98" s="808">
        <f t="shared" si="8"/>
        <v>175000</v>
      </c>
      <c r="M98" s="794">
        <f t="shared" si="9"/>
        <v>20388</v>
      </c>
    </row>
    <row r="99" spans="1:13" ht="15">
      <c r="A99" s="351" t="s">
        <v>2705</v>
      </c>
      <c r="B99" s="807">
        <v>234000</v>
      </c>
      <c r="C99" s="794">
        <v>11010</v>
      </c>
      <c r="D99" s="807">
        <v>10000</v>
      </c>
      <c r="E99" s="794"/>
      <c r="F99" s="838">
        <v>50000</v>
      </c>
      <c r="G99" s="794">
        <v>1100</v>
      </c>
      <c r="H99" s="807">
        <v>100000</v>
      </c>
      <c r="I99" s="794">
        <v>300</v>
      </c>
      <c r="J99" s="807"/>
      <c r="K99" s="794"/>
      <c r="L99" s="808">
        <f t="shared" si="8"/>
        <v>394000</v>
      </c>
      <c r="M99" s="794">
        <f t="shared" si="9"/>
        <v>12410</v>
      </c>
    </row>
    <row r="100" spans="1:13" ht="15">
      <c r="A100" s="351" t="s">
        <v>2706</v>
      </c>
      <c r="B100" s="807"/>
      <c r="C100" s="794"/>
      <c r="D100" s="807">
        <v>10000</v>
      </c>
      <c r="E100" s="794">
        <v>681</v>
      </c>
      <c r="F100" s="838">
        <v>50000</v>
      </c>
      <c r="G100" s="794">
        <v>2845.5</v>
      </c>
      <c r="H100" s="807">
        <v>5000</v>
      </c>
      <c r="I100" s="794">
        <v>1891.5</v>
      </c>
      <c r="J100" s="807"/>
      <c r="K100" s="794"/>
      <c r="L100" s="808">
        <f t="shared" ref="L100:L136" si="35">B100+D100+F100+H100+J100</f>
        <v>65000</v>
      </c>
      <c r="M100" s="794">
        <f t="shared" ref="M100:M137" si="36">C100+E100+G100+I100+K100</f>
        <v>5418</v>
      </c>
    </row>
    <row r="101" spans="1:13" ht="15">
      <c r="A101" s="351" t="s">
        <v>2707</v>
      </c>
      <c r="B101" s="807">
        <v>100000</v>
      </c>
      <c r="C101" s="794"/>
      <c r="D101" s="838">
        <v>50000</v>
      </c>
      <c r="E101" s="794">
        <v>7000</v>
      </c>
      <c r="F101" s="838">
        <v>170000</v>
      </c>
      <c r="G101" s="794">
        <v>73427.289999999994</v>
      </c>
      <c r="H101" s="807">
        <v>100000</v>
      </c>
      <c r="I101" s="794">
        <v>30000</v>
      </c>
      <c r="J101" s="807">
        <v>53628.21</v>
      </c>
      <c r="K101" s="794">
        <v>53628.21</v>
      </c>
      <c r="L101" s="808">
        <f t="shared" si="35"/>
        <v>473628.21</v>
      </c>
      <c r="M101" s="794">
        <f t="shared" si="36"/>
        <v>164055.5</v>
      </c>
    </row>
    <row r="102" spans="1:13" ht="15">
      <c r="A102" s="351" t="s">
        <v>2708</v>
      </c>
      <c r="B102" s="807">
        <v>100000</v>
      </c>
      <c r="C102" s="794">
        <v>72655.490000000005</v>
      </c>
      <c r="D102" s="838">
        <v>650000</v>
      </c>
      <c r="E102" s="794">
        <v>227898.71</v>
      </c>
      <c r="F102" s="838">
        <v>400000</v>
      </c>
      <c r="G102" s="794">
        <v>47786.39</v>
      </c>
      <c r="H102" s="807">
        <f>100000+5700</f>
        <v>105700</v>
      </c>
      <c r="I102" s="794">
        <v>78788.509999999995</v>
      </c>
      <c r="J102" s="807">
        <v>254700.67</v>
      </c>
      <c r="K102" s="794">
        <v>92455.93</v>
      </c>
      <c r="L102" s="808">
        <f t="shared" si="35"/>
        <v>1510400.67</v>
      </c>
      <c r="M102" s="794">
        <f t="shared" si="36"/>
        <v>519585.03</v>
      </c>
    </row>
    <row r="103" spans="1:13" ht="15">
      <c r="A103" s="351" t="s">
        <v>2709</v>
      </c>
      <c r="B103" s="807">
        <v>90000</v>
      </c>
      <c r="C103" s="794">
        <v>16646</v>
      </c>
      <c r="D103" s="807">
        <v>490500</v>
      </c>
      <c r="E103" s="794">
        <v>193.48</v>
      </c>
      <c r="F103" s="838">
        <v>60000</v>
      </c>
      <c r="G103" s="794"/>
      <c r="H103" s="838">
        <v>39400</v>
      </c>
      <c r="I103" s="794">
        <v>26296.99</v>
      </c>
      <c r="J103" s="807">
        <v>0</v>
      </c>
      <c r="K103" s="794"/>
      <c r="L103" s="884">
        <f t="shared" si="35"/>
        <v>679900</v>
      </c>
      <c r="M103" s="796">
        <f t="shared" si="36"/>
        <v>43136.47</v>
      </c>
    </row>
    <row r="104" spans="1:13" ht="15">
      <c r="A104" s="351" t="s">
        <v>2710</v>
      </c>
      <c r="B104" s="807">
        <v>180000</v>
      </c>
      <c r="C104" s="794">
        <v>44600</v>
      </c>
      <c r="D104" s="807">
        <v>41430</v>
      </c>
      <c r="E104" s="794">
        <v>12899.6</v>
      </c>
      <c r="F104" s="838">
        <v>100000</v>
      </c>
      <c r="G104" s="794">
        <v>10500</v>
      </c>
      <c r="H104" s="838">
        <v>47900</v>
      </c>
      <c r="I104" s="794">
        <v>26043.87</v>
      </c>
      <c r="J104" s="807">
        <v>29627.5</v>
      </c>
      <c r="K104" s="794">
        <v>18845.189999999999</v>
      </c>
      <c r="L104" s="884">
        <f t="shared" si="35"/>
        <v>398957.5</v>
      </c>
      <c r="M104" s="796">
        <f t="shared" si="36"/>
        <v>112888.66</v>
      </c>
    </row>
    <row r="105" spans="1:13" ht="15">
      <c r="A105" s="351" t="s">
        <v>2715</v>
      </c>
      <c r="B105" s="807">
        <v>1000</v>
      </c>
      <c r="C105" s="794"/>
      <c r="D105" s="838">
        <v>10000</v>
      </c>
      <c r="E105" s="794"/>
      <c r="F105" s="838"/>
      <c r="G105" s="794"/>
      <c r="H105" s="838"/>
      <c r="I105" s="794"/>
      <c r="J105" s="807"/>
      <c r="K105" s="794"/>
      <c r="L105" s="884">
        <f t="shared" si="35"/>
        <v>11000</v>
      </c>
      <c r="M105" s="796">
        <f t="shared" si="36"/>
        <v>0</v>
      </c>
    </row>
    <row r="106" spans="1:13" ht="15">
      <c r="A106" s="351" t="s">
        <v>2711</v>
      </c>
      <c r="B106" s="807">
        <v>80000</v>
      </c>
      <c r="C106" s="794"/>
      <c r="D106" s="1904">
        <v>472670</v>
      </c>
      <c r="E106" s="794">
        <v>4240</v>
      </c>
      <c r="F106" s="838">
        <v>65000</v>
      </c>
      <c r="G106" s="794"/>
      <c r="H106" s="838">
        <v>0</v>
      </c>
      <c r="I106" s="794"/>
      <c r="J106" s="807">
        <v>0</v>
      </c>
      <c r="K106" s="794"/>
      <c r="L106" s="884">
        <f t="shared" si="35"/>
        <v>617670</v>
      </c>
      <c r="M106" s="796">
        <f t="shared" si="36"/>
        <v>4240</v>
      </c>
    </row>
    <row r="107" spans="1:13" ht="15">
      <c r="A107" s="351" t="s">
        <v>2714</v>
      </c>
      <c r="B107" s="807">
        <v>280000</v>
      </c>
      <c r="C107" s="794">
        <v>57450</v>
      </c>
      <c r="D107" s="838">
        <v>50000</v>
      </c>
      <c r="E107" s="794">
        <v>15115</v>
      </c>
      <c r="F107" s="838">
        <v>400000</v>
      </c>
      <c r="G107" s="794">
        <v>21150</v>
      </c>
      <c r="H107" s="838">
        <v>100000</v>
      </c>
      <c r="I107" s="794">
        <v>46228</v>
      </c>
      <c r="J107" s="807">
        <v>75465</v>
      </c>
      <c r="K107" s="794">
        <v>75465</v>
      </c>
      <c r="L107" s="884">
        <f t="shared" si="35"/>
        <v>905465</v>
      </c>
      <c r="M107" s="796">
        <f t="shared" si="36"/>
        <v>215408</v>
      </c>
    </row>
    <row r="108" spans="1:13" ht="15">
      <c r="A108" s="351" t="s">
        <v>2712</v>
      </c>
      <c r="B108" s="807">
        <v>2010600</v>
      </c>
      <c r="C108" s="794">
        <v>1186421.19</v>
      </c>
      <c r="D108" s="807"/>
      <c r="E108" s="794"/>
      <c r="F108" s="838">
        <v>10200</v>
      </c>
      <c r="G108" s="794"/>
      <c r="H108" s="807"/>
      <c r="I108" s="794"/>
      <c r="J108" s="807"/>
      <c r="K108" s="794"/>
      <c r="L108" s="884">
        <f t="shared" si="35"/>
        <v>2020800</v>
      </c>
      <c r="M108" s="796">
        <f t="shared" si="36"/>
        <v>1186421.19</v>
      </c>
    </row>
    <row r="109" spans="1:13" ht="15">
      <c r="A109" s="2425" t="s">
        <v>2713</v>
      </c>
      <c r="B109" s="2593">
        <v>50000</v>
      </c>
      <c r="C109" s="2593">
        <v>34790</v>
      </c>
      <c r="D109" s="2594">
        <v>20000</v>
      </c>
      <c r="E109" s="2593">
        <v>2209.7600000000002</v>
      </c>
      <c r="F109" s="2594">
        <v>20000</v>
      </c>
      <c r="G109" s="2593">
        <v>4877.92</v>
      </c>
      <c r="H109" s="2593">
        <v>10000</v>
      </c>
      <c r="I109" s="2593">
        <v>2105</v>
      </c>
      <c r="J109" s="2593">
        <v>20000</v>
      </c>
      <c r="K109" s="2593">
        <v>1466.38</v>
      </c>
      <c r="L109" s="2595">
        <f t="shared" si="35"/>
        <v>120000</v>
      </c>
      <c r="M109" s="2595">
        <f t="shared" si="36"/>
        <v>45449.06</v>
      </c>
    </row>
    <row r="110" spans="1:13" ht="15.75" thickBot="1">
      <c r="A110" s="911" t="s">
        <v>3429</v>
      </c>
      <c r="B110" s="2596">
        <v>100000</v>
      </c>
      <c r="C110" s="2596">
        <v>75083.17</v>
      </c>
      <c r="D110" s="2597"/>
      <c r="E110" s="2596"/>
      <c r="F110" s="2597"/>
      <c r="G110" s="2596"/>
      <c r="H110" s="2596"/>
      <c r="I110" s="2596"/>
      <c r="J110" s="2596"/>
      <c r="K110" s="2596"/>
      <c r="L110" s="2595">
        <f t="shared" si="35"/>
        <v>100000</v>
      </c>
      <c r="M110" s="2595">
        <f t="shared" si="36"/>
        <v>75083.17</v>
      </c>
    </row>
    <row r="111" spans="1:13" ht="16.5" thickBot="1">
      <c r="A111" s="2572">
        <v>107</v>
      </c>
      <c r="B111" s="2573">
        <f>B112</f>
        <v>0</v>
      </c>
      <c r="C111" s="2574">
        <f t="shared" ref="C111:K111" si="37">C112</f>
        <v>0</v>
      </c>
      <c r="D111" s="2573">
        <f t="shared" si="37"/>
        <v>0</v>
      </c>
      <c r="E111" s="2574">
        <f t="shared" si="37"/>
        <v>0</v>
      </c>
      <c r="F111" s="2573">
        <f t="shared" si="37"/>
        <v>0</v>
      </c>
      <c r="G111" s="2574">
        <f t="shared" si="37"/>
        <v>0</v>
      </c>
      <c r="H111" s="2573">
        <f t="shared" si="37"/>
        <v>0</v>
      </c>
      <c r="I111" s="2574">
        <f t="shared" si="37"/>
        <v>0</v>
      </c>
      <c r="J111" s="2573">
        <f t="shared" si="37"/>
        <v>0</v>
      </c>
      <c r="K111" s="2574">
        <f t="shared" si="37"/>
        <v>0</v>
      </c>
      <c r="L111" s="2575">
        <f>L112</f>
        <v>0</v>
      </c>
      <c r="M111" s="2574">
        <f t="shared" si="36"/>
        <v>0</v>
      </c>
    </row>
    <row r="112" spans="1:13" ht="15.75" thickBot="1">
      <c r="A112" s="2429" t="s">
        <v>2715</v>
      </c>
      <c r="B112" s="2430"/>
      <c r="C112" s="2432"/>
      <c r="D112" s="2430">
        <v>0</v>
      </c>
      <c r="E112" s="2432"/>
      <c r="F112" s="2430">
        <v>0</v>
      </c>
      <c r="G112" s="2432"/>
      <c r="H112" s="2430">
        <v>0</v>
      </c>
      <c r="I112" s="2432"/>
      <c r="J112" s="2430">
        <v>0</v>
      </c>
      <c r="K112" s="2432"/>
      <c r="L112" s="2433">
        <f t="shared" si="35"/>
        <v>0</v>
      </c>
      <c r="M112" s="2432">
        <f t="shared" si="36"/>
        <v>0</v>
      </c>
    </row>
    <row r="113" spans="1:13" ht="16.5" thickBot="1">
      <c r="A113" s="2559">
        <v>111</v>
      </c>
      <c r="B113" s="2563">
        <f>B114</f>
        <v>0</v>
      </c>
      <c r="C113" s="2566">
        <f t="shared" ref="C113:K113" si="38">C114</f>
        <v>0</v>
      </c>
      <c r="D113" s="2563">
        <f t="shared" si="38"/>
        <v>10000</v>
      </c>
      <c r="E113" s="2566">
        <f>E114</f>
        <v>0</v>
      </c>
      <c r="F113" s="2563">
        <f t="shared" si="38"/>
        <v>5000</v>
      </c>
      <c r="G113" s="2566">
        <f t="shared" si="38"/>
        <v>0</v>
      </c>
      <c r="H113" s="2563">
        <f t="shared" si="38"/>
        <v>5000</v>
      </c>
      <c r="I113" s="2566">
        <f t="shared" si="38"/>
        <v>0</v>
      </c>
      <c r="J113" s="2563">
        <f t="shared" si="38"/>
        <v>3000</v>
      </c>
      <c r="K113" s="2566">
        <f t="shared" si="38"/>
        <v>0</v>
      </c>
      <c r="L113" s="2561">
        <f t="shared" si="35"/>
        <v>23000</v>
      </c>
      <c r="M113" s="2562">
        <f t="shared" si="36"/>
        <v>0</v>
      </c>
    </row>
    <row r="114" spans="1:13" ht="15.75" thickBot="1">
      <c r="A114" s="2429" t="s">
        <v>2716</v>
      </c>
      <c r="B114" s="2430"/>
      <c r="C114" s="2432"/>
      <c r="D114" s="2430">
        <v>10000</v>
      </c>
      <c r="E114" s="2432"/>
      <c r="F114" s="2430">
        <v>5000</v>
      </c>
      <c r="G114" s="2432"/>
      <c r="H114" s="2430">
        <v>5000</v>
      </c>
      <c r="I114" s="2432"/>
      <c r="J114" s="2430">
        <v>3000</v>
      </c>
      <c r="K114" s="2432"/>
      <c r="L114" s="2433">
        <f t="shared" si="35"/>
        <v>23000</v>
      </c>
      <c r="M114" s="2432">
        <f t="shared" si="36"/>
        <v>0</v>
      </c>
    </row>
    <row r="115" spans="1:13" ht="16.5" thickBot="1">
      <c r="A115" s="2559" t="s">
        <v>361</v>
      </c>
      <c r="B115" s="2570">
        <f>B116</f>
        <v>0</v>
      </c>
      <c r="C115" s="2564">
        <f t="shared" ref="C115:I115" si="39">C116</f>
        <v>0</v>
      </c>
      <c r="D115" s="2570">
        <f t="shared" si="39"/>
        <v>700</v>
      </c>
      <c r="E115" s="2564">
        <f t="shared" si="39"/>
        <v>0</v>
      </c>
      <c r="F115" s="2570">
        <f t="shared" si="39"/>
        <v>700</v>
      </c>
      <c r="G115" s="2564">
        <f t="shared" si="39"/>
        <v>0</v>
      </c>
      <c r="H115" s="2570">
        <f t="shared" si="39"/>
        <v>700</v>
      </c>
      <c r="I115" s="2564">
        <f t="shared" si="39"/>
        <v>0</v>
      </c>
      <c r="J115" s="2570">
        <f>J116</f>
        <v>700</v>
      </c>
      <c r="K115" s="2564">
        <f>K116</f>
        <v>0</v>
      </c>
      <c r="L115" s="2561">
        <f t="shared" si="35"/>
        <v>2800</v>
      </c>
      <c r="M115" s="2562">
        <f t="shared" si="36"/>
        <v>0</v>
      </c>
    </row>
    <row r="116" spans="1:13" ht="15.75" thickBot="1">
      <c r="A116" s="2442" t="s">
        <v>2714</v>
      </c>
      <c r="B116" s="2441"/>
      <c r="C116" s="2443"/>
      <c r="D116" s="2441">
        <v>700</v>
      </c>
      <c r="E116" s="2507"/>
      <c r="F116" s="2441">
        <v>700</v>
      </c>
      <c r="G116" s="2443"/>
      <c r="H116" s="2441">
        <v>700</v>
      </c>
      <c r="I116" s="2443"/>
      <c r="J116" s="2441">
        <v>700</v>
      </c>
      <c r="K116" s="2443"/>
      <c r="L116" s="2434">
        <f t="shared" si="35"/>
        <v>2800</v>
      </c>
      <c r="M116" s="2435">
        <f t="shared" si="36"/>
        <v>0</v>
      </c>
    </row>
    <row r="117" spans="1:13" ht="16.5" thickBot="1">
      <c r="A117" s="2568">
        <v>203</v>
      </c>
      <c r="B117" s="2569">
        <f>B118+B119+B120+B123+B124+B125+B126+B127+B128</f>
        <v>341500</v>
      </c>
      <c r="C117" s="2571">
        <f t="shared" ref="C117:K117" si="40">C118+C119+C120+C123+C124+C125+C126+C127+C128</f>
        <v>-38465.259999999995</v>
      </c>
      <c r="D117" s="2569">
        <f t="shared" si="40"/>
        <v>116000</v>
      </c>
      <c r="E117" s="2571">
        <f t="shared" si="40"/>
        <v>20851.280000000002</v>
      </c>
      <c r="F117" s="2569">
        <f t="shared" si="40"/>
        <v>91500</v>
      </c>
      <c r="G117" s="2571">
        <f t="shared" si="40"/>
        <v>14431.400000000001</v>
      </c>
      <c r="H117" s="2569">
        <f t="shared" si="40"/>
        <v>90000</v>
      </c>
      <c r="I117" s="2571">
        <f t="shared" si="40"/>
        <v>21088.73</v>
      </c>
      <c r="J117" s="2569">
        <f t="shared" si="40"/>
        <v>0</v>
      </c>
      <c r="K117" s="2571">
        <f t="shared" si="40"/>
        <v>0</v>
      </c>
      <c r="L117" s="2561">
        <f t="shared" si="35"/>
        <v>639000</v>
      </c>
      <c r="M117" s="2562">
        <f t="shared" si="36"/>
        <v>17906.150000000009</v>
      </c>
    </row>
    <row r="118" spans="1:13" ht="15">
      <c r="A118" s="2410" t="s">
        <v>2697</v>
      </c>
      <c r="B118" s="2401">
        <v>235000</v>
      </c>
      <c r="C118" s="2404">
        <v>42448</v>
      </c>
      <c r="D118" s="2401">
        <v>84200</v>
      </c>
      <c r="E118" s="2404">
        <v>17531.650000000001</v>
      </c>
      <c r="F118" s="2401">
        <v>66505</v>
      </c>
      <c r="G118" s="2404">
        <v>11084.04</v>
      </c>
      <c r="H118" s="2401">
        <v>69000</v>
      </c>
      <c r="I118" s="2404">
        <v>17422.02</v>
      </c>
      <c r="J118" s="2401"/>
      <c r="K118" s="2404"/>
      <c r="L118" s="2403">
        <f t="shared" si="35"/>
        <v>454705</v>
      </c>
      <c r="M118" s="2404">
        <f t="shared" si="36"/>
        <v>88485.71</v>
      </c>
    </row>
    <row r="119" spans="1:13" ht="15">
      <c r="A119" s="2396" t="s">
        <v>3292</v>
      </c>
      <c r="B119" s="2313">
        <v>70900</v>
      </c>
      <c r="C119" s="2315">
        <v>-81213.259999999995</v>
      </c>
      <c r="D119" s="2313">
        <v>25800</v>
      </c>
      <c r="E119" s="2315">
        <v>3319.63</v>
      </c>
      <c r="F119" s="2313">
        <v>20085</v>
      </c>
      <c r="G119" s="2315">
        <v>3347.36</v>
      </c>
      <c r="H119" s="2313">
        <v>21000</v>
      </c>
      <c r="I119" s="2315">
        <v>3666.71</v>
      </c>
      <c r="J119" s="2313"/>
      <c r="K119" s="2315"/>
      <c r="L119" s="2314">
        <f t="shared" si="35"/>
        <v>137785</v>
      </c>
      <c r="M119" s="2315">
        <f t="shared" si="36"/>
        <v>-70879.559999999983</v>
      </c>
    </row>
    <row r="120" spans="1:13" ht="15">
      <c r="A120" s="2396" t="s">
        <v>2763</v>
      </c>
      <c r="B120" s="2313"/>
      <c r="C120" s="2315">
        <v>300</v>
      </c>
      <c r="D120" s="2313"/>
      <c r="E120" s="2315"/>
      <c r="F120" s="2313"/>
      <c r="G120" s="2315"/>
      <c r="H120" s="2313"/>
      <c r="I120" s="2315"/>
      <c r="J120" s="2313"/>
      <c r="K120" s="2315"/>
      <c r="L120" s="2314">
        <f t="shared" si="35"/>
        <v>0</v>
      </c>
      <c r="M120" s="2315">
        <f t="shared" si="36"/>
        <v>300</v>
      </c>
    </row>
    <row r="121" spans="1:13" ht="15">
      <c r="A121" s="2400" t="s">
        <v>3404</v>
      </c>
      <c r="B121" s="2428">
        <f t="shared" ref="B121:K121" si="41">B123+B127</f>
        <v>12900</v>
      </c>
      <c r="C121" s="2488">
        <f t="shared" si="41"/>
        <v>0</v>
      </c>
      <c r="D121" s="2428">
        <f t="shared" si="41"/>
        <v>3000</v>
      </c>
      <c r="E121" s="2488">
        <f t="shared" si="41"/>
        <v>0</v>
      </c>
      <c r="F121" s="2428">
        <f t="shared" si="41"/>
        <v>0</v>
      </c>
      <c r="G121" s="2488">
        <f t="shared" si="41"/>
        <v>0</v>
      </c>
      <c r="H121" s="2428">
        <f t="shared" si="41"/>
        <v>0</v>
      </c>
      <c r="I121" s="2488">
        <f t="shared" si="41"/>
        <v>0</v>
      </c>
      <c r="J121" s="2428">
        <f t="shared" si="41"/>
        <v>0</v>
      </c>
      <c r="K121" s="2488">
        <f t="shared" si="41"/>
        <v>0</v>
      </c>
      <c r="L121" s="2314">
        <f t="shared" si="35"/>
        <v>15900</v>
      </c>
      <c r="M121" s="2315">
        <f t="shared" si="36"/>
        <v>0</v>
      </c>
    </row>
    <row r="122" spans="1:13" ht="15">
      <c r="A122" s="2400" t="s">
        <v>3405</v>
      </c>
      <c r="B122" s="2428">
        <f t="shared" ref="B122:K122" si="42">B125+B126+B128</f>
        <v>9700</v>
      </c>
      <c r="C122" s="2488">
        <f t="shared" si="42"/>
        <v>0</v>
      </c>
      <c r="D122" s="2428">
        <f>D125+D126+D128+D124</f>
        <v>3000</v>
      </c>
      <c r="E122" s="2488">
        <f t="shared" si="42"/>
        <v>0</v>
      </c>
      <c r="F122" s="2428">
        <f t="shared" si="42"/>
        <v>4910</v>
      </c>
      <c r="G122" s="2488">
        <f t="shared" si="42"/>
        <v>0</v>
      </c>
      <c r="H122" s="2428">
        <f t="shared" si="42"/>
        <v>0</v>
      </c>
      <c r="I122" s="2488">
        <f t="shared" si="42"/>
        <v>0</v>
      </c>
      <c r="J122" s="2428">
        <f t="shared" si="42"/>
        <v>0</v>
      </c>
      <c r="K122" s="2488">
        <f t="shared" si="42"/>
        <v>0</v>
      </c>
      <c r="L122" s="2314">
        <f t="shared" si="35"/>
        <v>17610</v>
      </c>
      <c r="M122" s="2315">
        <f t="shared" si="36"/>
        <v>0</v>
      </c>
    </row>
    <row r="123" spans="1:13" ht="15">
      <c r="A123" s="351" t="s">
        <v>2701</v>
      </c>
      <c r="B123" s="807">
        <v>6900</v>
      </c>
      <c r="C123" s="794"/>
      <c r="D123" s="807">
        <v>3000</v>
      </c>
      <c r="E123" s="794"/>
      <c r="F123" s="838"/>
      <c r="G123" s="794"/>
      <c r="H123" s="838"/>
      <c r="I123" s="794"/>
      <c r="J123" s="807"/>
      <c r="K123" s="794"/>
      <c r="L123" s="808">
        <f t="shared" si="35"/>
        <v>9900</v>
      </c>
      <c r="M123" s="794">
        <f t="shared" si="36"/>
        <v>0</v>
      </c>
    </row>
    <row r="124" spans="1:13" ht="15">
      <c r="A124" s="351" t="s">
        <v>2707</v>
      </c>
      <c r="B124" s="807">
        <v>13000</v>
      </c>
      <c r="C124" s="794"/>
      <c r="D124" s="807">
        <v>2000</v>
      </c>
      <c r="E124" s="794"/>
      <c r="F124" s="807"/>
      <c r="G124" s="794"/>
      <c r="H124" s="807"/>
      <c r="I124" s="794"/>
      <c r="J124" s="807"/>
      <c r="K124" s="794"/>
      <c r="L124" s="808">
        <f t="shared" si="35"/>
        <v>15000</v>
      </c>
      <c r="M124" s="794">
        <f t="shared" si="36"/>
        <v>0</v>
      </c>
    </row>
    <row r="125" spans="1:13" ht="15">
      <c r="A125" s="351" t="s">
        <v>2769</v>
      </c>
      <c r="B125" s="807">
        <v>4100</v>
      </c>
      <c r="C125" s="794"/>
      <c r="D125" s="807"/>
      <c r="E125" s="794"/>
      <c r="F125" s="807"/>
      <c r="G125" s="794"/>
      <c r="H125" s="807"/>
      <c r="I125" s="794"/>
      <c r="J125" s="807"/>
      <c r="K125" s="794"/>
      <c r="L125" s="808">
        <f t="shared" si="35"/>
        <v>4100</v>
      </c>
      <c r="M125" s="794">
        <f t="shared" si="36"/>
        <v>0</v>
      </c>
    </row>
    <row r="126" spans="1:13" ht="15">
      <c r="A126" s="351" t="s">
        <v>2717</v>
      </c>
      <c r="B126" s="807">
        <v>3100</v>
      </c>
      <c r="C126" s="794"/>
      <c r="D126" s="807"/>
      <c r="E126" s="794"/>
      <c r="F126" s="807"/>
      <c r="G126" s="794"/>
      <c r="H126" s="807"/>
      <c r="I126" s="794"/>
      <c r="J126" s="807"/>
      <c r="K126" s="794"/>
      <c r="L126" s="808">
        <f t="shared" si="35"/>
        <v>3100</v>
      </c>
      <c r="M126" s="794">
        <f t="shared" si="36"/>
        <v>0</v>
      </c>
    </row>
    <row r="127" spans="1:13" ht="15">
      <c r="A127" s="351" t="s">
        <v>3434</v>
      </c>
      <c r="B127" s="807">
        <v>6000</v>
      </c>
      <c r="C127" s="794"/>
      <c r="D127" s="807"/>
      <c r="E127" s="794"/>
      <c r="F127" s="807">
        <v>0</v>
      </c>
      <c r="G127" s="794"/>
      <c r="H127" s="807"/>
      <c r="I127" s="794"/>
      <c r="J127" s="807"/>
      <c r="K127" s="794"/>
      <c r="L127" s="808">
        <f t="shared" si="35"/>
        <v>6000</v>
      </c>
      <c r="M127" s="794">
        <f t="shared" si="36"/>
        <v>0</v>
      </c>
    </row>
    <row r="128" spans="1:13" ht="15.75" thickBot="1">
      <c r="A128" s="2425" t="s">
        <v>2714</v>
      </c>
      <c r="B128" s="2420">
        <v>2500</v>
      </c>
      <c r="C128" s="2423"/>
      <c r="D128" s="2420">
        <v>1000</v>
      </c>
      <c r="E128" s="2423"/>
      <c r="F128" s="2420">
        <v>4910</v>
      </c>
      <c r="G128" s="2423"/>
      <c r="H128" s="2420"/>
      <c r="I128" s="2423"/>
      <c r="J128" s="2420"/>
      <c r="K128" s="2423"/>
      <c r="L128" s="2424">
        <f t="shared" si="35"/>
        <v>8410</v>
      </c>
      <c r="M128" s="2423">
        <f t="shared" si="36"/>
        <v>0</v>
      </c>
    </row>
    <row r="129" spans="1:13" ht="16.5" thickBot="1">
      <c r="A129" s="2559">
        <v>309</v>
      </c>
      <c r="B129" s="2563">
        <f>SUM(B132:B139)</f>
        <v>413000</v>
      </c>
      <c r="C129" s="2564">
        <f t="shared" ref="C129:K129" si="43">SUM(C132:C139)</f>
        <v>0</v>
      </c>
      <c r="D129" s="2563">
        <f t="shared" si="43"/>
        <v>45000</v>
      </c>
      <c r="E129" s="2564">
        <f t="shared" si="43"/>
        <v>0</v>
      </c>
      <c r="F129" s="2563">
        <f t="shared" si="43"/>
        <v>222000</v>
      </c>
      <c r="G129" s="2564">
        <f t="shared" si="43"/>
        <v>34106.5</v>
      </c>
      <c r="H129" s="2563">
        <f t="shared" si="43"/>
        <v>100000</v>
      </c>
      <c r="I129" s="2564">
        <f t="shared" si="43"/>
        <v>0</v>
      </c>
      <c r="J129" s="2563">
        <f t="shared" si="43"/>
        <v>100000</v>
      </c>
      <c r="K129" s="2564">
        <f t="shared" si="43"/>
        <v>0</v>
      </c>
      <c r="L129" s="2561">
        <f t="shared" si="35"/>
        <v>880000</v>
      </c>
      <c r="M129" s="2562">
        <f t="shared" si="36"/>
        <v>34106.5</v>
      </c>
    </row>
    <row r="130" spans="1:13" ht="15">
      <c r="A130" s="2492" t="s">
        <v>3404</v>
      </c>
      <c r="B130" s="2500">
        <f>B133+B135</f>
        <v>0</v>
      </c>
      <c r="C130" s="2501">
        <f t="shared" ref="C130:K130" si="44">C133+C135</f>
        <v>0</v>
      </c>
      <c r="D130" s="2500">
        <f t="shared" si="44"/>
        <v>0</v>
      </c>
      <c r="E130" s="2501">
        <f t="shared" si="44"/>
        <v>0</v>
      </c>
      <c r="F130" s="2500">
        <f t="shared" si="44"/>
        <v>0</v>
      </c>
      <c r="G130" s="2501">
        <f t="shared" si="44"/>
        <v>0</v>
      </c>
      <c r="H130" s="2500">
        <f t="shared" si="44"/>
        <v>0</v>
      </c>
      <c r="I130" s="2501">
        <f t="shared" si="44"/>
        <v>0</v>
      </c>
      <c r="J130" s="2500">
        <f t="shared" si="44"/>
        <v>0</v>
      </c>
      <c r="K130" s="2501">
        <f t="shared" si="44"/>
        <v>0</v>
      </c>
      <c r="L130" s="2403">
        <f t="shared" si="35"/>
        <v>0</v>
      </c>
      <c r="M130" s="2404">
        <f t="shared" si="36"/>
        <v>0</v>
      </c>
    </row>
    <row r="131" spans="1:13" ht="15">
      <c r="A131" s="2493" t="s">
        <v>3405</v>
      </c>
      <c r="B131" s="2502">
        <f>B132+B134+B136+B137+B138+B139</f>
        <v>413000</v>
      </c>
      <c r="C131" s="2503">
        <f t="shared" ref="C131:K131" si="45">C132+C134+C136+C137+C138+C139</f>
        <v>0</v>
      </c>
      <c r="D131" s="2502">
        <f t="shared" si="45"/>
        <v>45000</v>
      </c>
      <c r="E131" s="2503">
        <f t="shared" si="45"/>
        <v>0</v>
      </c>
      <c r="F131" s="2502">
        <f t="shared" si="45"/>
        <v>222000</v>
      </c>
      <c r="G131" s="2503">
        <f t="shared" si="45"/>
        <v>34106.5</v>
      </c>
      <c r="H131" s="2502">
        <f t="shared" si="45"/>
        <v>100000</v>
      </c>
      <c r="I131" s="2503">
        <f t="shared" si="45"/>
        <v>0</v>
      </c>
      <c r="J131" s="2502">
        <f t="shared" si="45"/>
        <v>100000</v>
      </c>
      <c r="K131" s="2503">
        <f t="shared" si="45"/>
        <v>0</v>
      </c>
      <c r="L131" s="2403">
        <f t="shared" si="35"/>
        <v>880000</v>
      </c>
      <c r="M131" s="2404">
        <f t="shared" si="36"/>
        <v>34106.5</v>
      </c>
    </row>
    <row r="132" spans="1:13" ht="15">
      <c r="A132" s="2436" t="s">
        <v>2707</v>
      </c>
      <c r="B132" s="2437"/>
      <c r="C132" s="2439"/>
      <c r="D132" s="2437"/>
      <c r="E132" s="2439"/>
      <c r="F132" s="2437">
        <v>10000</v>
      </c>
      <c r="G132" s="2439">
        <v>8707.42</v>
      </c>
      <c r="H132" s="2437">
        <v>50000</v>
      </c>
      <c r="I132" s="2439"/>
      <c r="J132" s="2437"/>
      <c r="K132" s="2439"/>
      <c r="L132" s="2440">
        <f t="shared" si="35"/>
        <v>60000</v>
      </c>
      <c r="M132" s="2439">
        <f t="shared" si="36"/>
        <v>8707.42</v>
      </c>
    </row>
    <row r="133" spans="1:13" ht="15">
      <c r="A133" s="351" t="s">
        <v>2764</v>
      </c>
      <c r="B133" s="807"/>
      <c r="C133" s="794"/>
      <c r="D133" s="807"/>
      <c r="E133" s="794"/>
      <c r="F133" s="2445"/>
      <c r="G133" s="794"/>
      <c r="H133" s="807"/>
      <c r="I133" s="794"/>
      <c r="J133" s="807"/>
      <c r="K133" s="794"/>
      <c r="L133" s="808">
        <f t="shared" si="35"/>
        <v>0</v>
      </c>
      <c r="M133" s="794">
        <f t="shared" si="36"/>
        <v>0</v>
      </c>
    </row>
    <row r="134" spans="1:13" ht="15">
      <c r="A134" s="351" t="s">
        <v>2700</v>
      </c>
      <c r="B134" s="807"/>
      <c r="C134" s="794"/>
      <c r="D134" s="807"/>
      <c r="E134" s="794"/>
      <c r="F134" s="2444">
        <v>50000</v>
      </c>
      <c r="G134" s="794">
        <v>16900</v>
      </c>
      <c r="H134" s="807"/>
      <c r="I134" s="794"/>
      <c r="J134" s="807"/>
      <c r="K134" s="794"/>
      <c r="L134" s="808">
        <f t="shared" si="35"/>
        <v>50000</v>
      </c>
      <c r="M134" s="794">
        <f t="shared" si="36"/>
        <v>16900</v>
      </c>
    </row>
    <row r="135" spans="1:13" ht="15">
      <c r="A135" s="351" t="s">
        <v>2765</v>
      </c>
      <c r="B135" s="807"/>
      <c r="C135" s="794"/>
      <c r="D135" s="807"/>
      <c r="E135" s="794"/>
      <c r="F135" s="838"/>
      <c r="G135" s="794"/>
      <c r="H135" s="807"/>
      <c r="I135" s="794"/>
      <c r="J135" s="807"/>
      <c r="K135" s="794"/>
      <c r="L135" s="808">
        <f t="shared" si="35"/>
        <v>0</v>
      </c>
      <c r="M135" s="794">
        <f t="shared" si="36"/>
        <v>0</v>
      </c>
    </row>
    <row r="136" spans="1:13" ht="15">
      <c r="A136" s="351" t="s">
        <v>2766</v>
      </c>
      <c r="B136" s="807"/>
      <c r="C136" s="794"/>
      <c r="D136" s="807"/>
      <c r="E136" s="2508">
        <f>E137+E139+E143+E144+E145+E146</f>
        <v>0</v>
      </c>
      <c r="F136" s="838">
        <v>11000</v>
      </c>
      <c r="G136" s="794"/>
      <c r="H136" s="807"/>
      <c r="I136" s="794"/>
      <c r="J136" s="807"/>
      <c r="K136" s="794"/>
      <c r="L136" s="808">
        <f t="shared" si="35"/>
        <v>11000</v>
      </c>
      <c r="M136" s="794">
        <f t="shared" si="36"/>
        <v>0</v>
      </c>
    </row>
    <row r="137" spans="1:13" ht="15">
      <c r="A137" s="351" t="s">
        <v>2710</v>
      </c>
      <c r="B137" s="807">
        <v>313000</v>
      </c>
      <c r="C137" s="794"/>
      <c r="D137" s="838">
        <v>35000</v>
      </c>
      <c r="E137" s="794"/>
      <c r="F137" s="838">
        <v>11000</v>
      </c>
      <c r="G137" s="794">
        <v>8499.08</v>
      </c>
      <c r="H137" s="807">
        <v>50000</v>
      </c>
      <c r="I137" s="794"/>
      <c r="J137" s="807">
        <v>100000</v>
      </c>
      <c r="K137" s="794"/>
      <c r="L137" s="808">
        <f t="shared" ref="L137:L214" si="46">B137+D137+F137+H137+J137</f>
        <v>509000</v>
      </c>
      <c r="M137" s="794">
        <f t="shared" si="36"/>
        <v>8499.08</v>
      </c>
    </row>
    <row r="138" spans="1:13" ht="15">
      <c r="A138" s="351" t="s">
        <v>2711</v>
      </c>
      <c r="B138" s="807"/>
      <c r="C138" s="794"/>
      <c r="D138" s="838"/>
      <c r="E138" s="794"/>
      <c r="F138" s="838">
        <v>70000</v>
      </c>
      <c r="G138" s="794"/>
      <c r="H138" s="807"/>
      <c r="I138" s="794"/>
      <c r="J138" s="807"/>
      <c r="K138" s="794"/>
      <c r="L138" s="808">
        <f t="shared" si="46"/>
        <v>70000</v>
      </c>
      <c r="M138" s="794">
        <f>C138+E138+G138+I138+K138</f>
        <v>0</v>
      </c>
    </row>
    <row r="139" spans="1:13" ht="15.75" thickBot="1">
      <c r="A139" s="2425" t="s">
        <v>2714</v>
      </c>
      <c r="B139" s="2420">
        <v>100000</v>
      </c>
      <c r="C139" s="2423"/>
      <c r="D139" s="2422">
        <v>10000</v>
      </c>
      <c r="E139" s="2423"/>
      <c r="F139" s="2422">
        <v>70000</v>
      </c>
      <c r="G139" s="2423"/>
      <c r="H139" s="2420"/>
      <c r="I139" s="2423"/>
      <c r="J139" s="2420"/>
      <c r="K139" s="2423"/>
      <c r="L139" s="2424">
        <f t="shared" si="46"/>
        <v>180000</v>
      </c>
      <c r="M139" s="2423">
        <f t="shared" ref="M139:M225" si="47">C139+E139+G139+I139+K139</f>
        <v>0</v>
      </c>
    </row>
    <row r="140" spans="1:13" ht="16.5" thickBot="1">
      <c r="A140" s="2572">
        <v>310</v>
      </c>
      <c r="B140" s="2573">
        <f>SUM(B143:B152)</f>
        <v>0</v>
      </c>
      <c r="C140" s="2574">
        <f>SUM(C143:C152)</f>
        <v>0</v>
      </c>
      <c r="D140" s="2573">
        <f t="shared" ref="D140:K140" si="48">SUM(D143:D152)</f>
        <v>555000</v>
      </c>
      <c r="E140" s="2574">
        <f t="shared" si="48"/>
        <v>0</v>
      </c>
      <c r="F140" s="2573">
        <f t="shared" si="48"/>
        <v>135000</v>
      </c>
      <c r="G140" s="2574">
        <f t="shared" si="48"/>
        <v>0</v>
      </c>
      <c r="H140" s="2573">
        <f t="shared" si="48"/>
        <v>100000</v>
      </c>
      <c r="I140" s="2574">
        <f t="shared" si="48"/>
        <v>0</v>
      </c>
      <c r="J140" s="2573">
        <f t="shared" si="48"/>
        <v>100000</v>
      </c>
      <c r="K140" s="2574">
        <f t="shared" si="48"/>
        <v>0</v>
      </c>
      <c r="L140" s="2575">
        <f t="shared" si="46"/>
        <v>890000</v>
      </c>
      <c r="M140" s="2574">
        <f t="shared" si="47"/>
        <v>0</v>
      </c>
    </row>
    <row r="141" spans="1:13" ht="15">
      <c r="A141" s="2494" t="s">
        <v>3404</v>
      </c>
      <c r="B141" s="2401">
        <f>B144+B145+B146+B147</f>
        <v>0</v>
      </c>
      <c r="C141" s="2404">
        <f t="shared" ref="C141:K141" si="49">C144+C145+C146+C147</f>
        <v>0</v>
      </c>
      <c r="D141" s="2401">
        <f t="shared" si="49"/>
        <v>0</v>
      </c>
      <c r="E141" s="2404">
        <f t="shared" si="49"/>
        <v>0</v>
      </c>
      <c r="F141" s="2401">
        <f t="shared" si="49"/>
        <v>0</v>
      </c>
      <c r="G141" s="2404">
        <f t="shared" si="49"/>
        <v>0</v>
      </c>
      <c r="H141" s="2401">
        <f t="shared" si="49"/>
        <v>0</v>
      </c>
      <c r="I141" s="2404">
        <f t="shared" si="49"/>
        <v>0</v>
      </c>
      <c r="J141" s="2401">
        <f t="shared" si="49"/>
        <v>0</v>
      </c>
      <c r="K141" s="2404">
        <f t="shared" si="49"/>
        <v>0</v>
      </c>
      <c r="L141" s="2403">
        <f t="shared" si="46"/>
        <v>0</v>
      </c>
      <c r="M141" s="2404">
        <f t="shared" si="47"/>
        <v>0</v>
      </c>
    </row>
    <row r="142" spans="1:13" ht="15">
      <c r="A142" s="2495" t="s">
        <v>3405</v>
      </c>
      <c r="B142" s="2313">
        <f>B143+B148+B149+B150+B151+B152</f>
        <v>0</v>
      </c>
      <c r="C142" s="2315">
        <f t="shared" ref="C142:K142" si="50">C143+C148+C149+C150+C151+C152</f>
        <v>0</v>
      </c>
      <c r="D142" s="2313">
        <f t="shared" si="50"/>
        <v>555000</v>
      </c>
      <c r="E142" s="2315">
        <f t="shared" si="50"/>
        <v>0</v>
      </c>
      <c r="F142" s="2313">
        <f t="shared" si="50"/>
        <v>135000</v>
      </c>
      <c r="G142" s="2315">
        <f t="shared" si="50"/>
        <v>0</v>
      </c>
      <c r="H142" s="2313">
        <f t="shared" si="50"/>
        <v>100000</v>
      </c>
      <c r="I142" s="2315">
        <f t="shared" si="50"/>
        <v>0</v>
      </c>
      <c r="J142" s="2313">
        <f t="shared" si="50"/>
        <v>100000</v>
      </c>
      <c r="K142" s="2315">
        <f t="shared" si="50"/>
        <v>0</v>
      </c>
      <c r="L142" s="2403">
        <f t="shared" si="46"/>
        <v>890000</v>
      </c>
      <c r="M142" s="2404">
        <f t="shared" si="47"/>
        <v>0</v>
      </c>
    </row>
    <row r="143" spans="1:13" ht="15">
      <c r="A143" s="2446" t="s">
        <v>2699</v>
      </c>
      <c r="B143" s="2447"/>
      <c r="C143" s="2450"/>
      <c r="D143" s="2447"/>
      <c r="E143" s="2450"/>
      <c r="F143" s="2449">
        <v>10000</v>
      </c>
      <c r="G143" s="2450"/>
      <c r="H143" s="2447">
        <v>100000</v>
      </c>
      <c r="I143" s="2450"/>
      <c r="J143" s="2447"/>
      <c r="K143" s="2450"/>
      <c r="L143" s="2440">
        <f t="shared" si="46"/>
        <v>110000</v>
      </c>
      <c r="M143" s="2439">
        <f t="shared" si="47"/>
        <v>0</v>
      </c>
    </row>
    <row r="144" spans="1:13" ht="15">
      <c r="A144" s="833" t="s">
        <v>2764</v>
      </c>
      <c r="B144" s="838"/>
      <c r="C144" s="814"/>
      <c r="D144" s="838"/>
      <c r="E144" s="814"/>
      <c r="F144" s="882"/>
      <c r="G144" s="814"/>
      <c r="H144" s="838"/>
      <c r="I144" s="814"/>
      <c r="J144" s="838"/>
      <c r="K144" s="814"/>
      <c r="L144" s="808">
        <f t="shared" si="46"/>
        <v>0</v>
      </c>
      <c r="M144" s="794">
        <f t="shared" si="47"/>
        <v>0</v>
      </c>
    </row>
    <row r="145" spans="1:13" ht="15">
      <c r="A145" s="833" t="s">
        <v>2762</v>
      </c>
      <c r="B145" s="838"/>
      <c r="C145" s="814"/>
      <c r="D145" s="838"/>
      <c r="E145" s="814"/>
      <c r="F145" s="882"/>
      <c r="G145" s="814"/>
      <c r="H145" s="838"/>
      <c r="I145" s="814"/>
      <c r="J145" s="838"/>
      <c r="K145" s="814"/>
      <c r="L145" s="808">
        <f t="shared" si="46"/>
        <v>0</v>
      </c>
      <c r="M145" s="794">
        <f t="shared" si="47"/>
        <v>0</v>
      </c>
    </row>
    <row r="146" spans="1:13" ht="15">
      <c r="A146" s="833" t="s">
        <v>2767</v>
      </c>
      <c r="B146" s="838"/>
      <c r="C146" s="814"/>
      <c r="D146" s="838"/>
      <c r="E146" s="814"/>
      <c r="F146" s="882"/>
      <c r="G146" s="814"/>
      <c r="H146" s="838"/>
      <c r="I146" s="814"/>
      <c r="J146" s="2422"/>
      <c r="K146" s="814"/>
      <c r="L146" s="808">
        <f t="shared" si="46"/>
        <v>0</v>
      </c>
      <c r="M146" s="794">
        <f t="shared" si="47"/>
        <v>0</v>
      </c>
    </row>
    <row r="147" spans="1:13" ht="15">
      <c r="A147" s="833" t="s">
        <v>2765</v>
      </c>
      <c r="B147" s="838"/>
      <c r="C147" s="814"/>
      <c r="D147" s="838"/>
      <c r="E147" s="814"/>
      <c r="F147" s="882"/>
      <c r="G147" s="814"/>
      <c r="H147" s="838"/>
      <c r="I147" s="814"/>
      <c r="J147" s="838"/>
      <c r="K147" s="2451"/>
      <c r="L147" s="808">
        <f t="shared" si="46"/>
        <v>0</v>
      </c>
      <c r="M147" s="794">
        <f t="shared" si="47"/>
        <v>0</v>
      </c>
    </row>
    <row r="148" spans="1:13" ht="15">
      <c r="A148" s="833" t="s">
        <v>2766</v>
      </c>
      <c r="B148" s="838"/>
      <c r="C148" s="814"/>
      <c r="D148" s="838"/>
      <c r="E148" s="814"/>
      <c r="F148" s="882">
        <v>5000</v>
      </c>
      <c r="G148" s="814"/>
      <c r="H148" s="838"/>
      <c r="I148" s="814"/>
      <c r="J148" s="2447"/>
      <c r="K148" s="814"/>
      <c r="L148" s="808">
        <f t="shared" si="46"/>
        <v>5000</v>
      </c>
      <c r="M148" s="794">
        <f t="shared" si="47"/>
        <v>0</v>
      </c>
    </row>
    <row r="149" spans="1:13" ht="15">
      <c r="A149" s="833" t="s">
        <v>2717</v>
      </c>
      <c r="B149" s="838"/>
      <c r="C149" s="814"/>
      <c r="D149" s="838"/>
      <c r="E149" s="814"/>
      <c r="F149" s="882">
        <v>10000</v>
      </c>
      <c r="G149" s="814"/>
      <c r="H149" s="838"/>
      <c r="I149" s="814"/>
      <c r="J149" s="838">
        <v>100000</v>
      </c>
      <c r="K149" s="814"/>
      <c r="L149" s="808">
        <f t="shared" si="46"/>
        <v>110000</v>
      </c>
      <c r="M149" s="794">
        <f t="shared" si="47"/>
        <v>0</v>
      </c>
    </row>
    <row r="150" spans="1:13" ht="15">
      <c r="A150" s="833" t="s">
        <v>2700</v>
      </c>
      <c r="B150" s="838"/>
      <c r="C150" s="814"/>
      <c r="D150" s="838"/>
      <c r="E150" s="814"/>
      <c r="F150" s="882">
        <v>20000</v>
      </c>
      <c r="G150" s="814"/>
      <c r="H150" s="838"/>
      <c r="I150" s="814"/>
      <c r="J150" s="838"/>
      <c r="K150" s="814"/>
      <c r="L150" s="799">
        <f t="shared" si="46"/>
        <v>20000</v>
      </c>
      <c r="M150" s="791">
        <f t="shared" si="47"/>
        <v>0</v>
      </c>
    </row>
    <row r="151" spans="1:13" ht="15">
      <c r="A151" s="351" t="s">
        <v>2718</v>
      </c>
      <c r="B151" s="815"/>
      <c r="C151" s="791"/>
      <c r="D151" s="815">
        <v>555000</v>
      </c>
      <c r="E151" s="791"/>
      <c r="F151" s="815">
        <v>40000</v>
      </c>
      <c r="G151" s="791"/>
      <c r="H151" s="815">
        <v>0</v>
      </c>
      <c r="I151" s="791"/>
      <c r="J151" s="815"/>
      <c r="K151" s="791"/>
      <c r="L151" s="799">
        <f t="shared" si="46"/>
        <v>595000</v>
      </c>
      <c r="M151" s="791">
        <f t="shared" si="47"/>
        <v>0</v>
      </c>
    </row>
    <row r="152" spans="1:13" ht="15.75" thickBot="1">
      <c r="A152" s="2425" t="s">
        <v>2719</v>
      </c>
      <c r="B152" s="2454"/>
      <c r="C152" s="2455"/>
      <c r="D152" s="2454"/>
      <c r="E152" s="2455"/>
      <c r="F152" s="2454">
        <v>50000</v>
      </c>
      <c r="G152" s="2455"/>
      <c r="H152" s="2454"/>
      <c r="I152" s="2455"/>
      <c r="J152" s="2454"/>
      <c r="K152" s="2455"/>
      <c r="L152" s="2456">
        <f t="shared" si="46"/>
        <v>50000</v>
      </c>
      <c r="M152" s="2455">
        <f t="shared" si="47"/>
        <v>0</v>
      </c>
    </row>
    <row r="153" spans="1:13" ht="16.5" thickBot="1">
      <c r="A153" s="2572" t="s">
        <v>3293</v>
      </c>
      <c r="B153" s="2573">
        <f t="shared" ref="B153:H153" si="51">SUM(B154:B156)</f>
        <v>500000</v>
      </c>
      <c r="C153" s="2574"/>
      <c r="D153" s="2573">
        <f t="shared" si="51"/>
        <v>0</v>
      </c>
      <c r="E153" s="2574">
        <f t="shared" si="51"/>
        <v>0</v>
      </c>
      <c r="F153" s="2573">
        <f t="shared" si="51"/>
        <v>500000</v>
      </c>
      <c r="G153" s="2574">
        <f t="shared" si="51"/>
        <v>0</v>
      </c>
      <c r="H153" s="2573">
        <f t="shared" si="51"/>
        <v>0</v>
      </c>
      <c r="I153" s="2576">
        <f>I154+I155+I156</f>
        <v>0</v>
      </c>
      <c r="J153" s="2573">
        <f>SUM(J154:J156)</f>
        <v>0</v>
      </c>
      <c r="K153" s="2574">
        <f>SUM(K154:K156)</f>
        <v>0</v>
      </c>
      <c r="L153" s="2575">
        <f t="shared" si="46"/>
        <v>1000000</v>
      </c>
      <c r="M153" s="2574">
        <f t="shared" si="47"/>
        <v>0</v>
      </c>
    </row>
    <row r="154" spans="1:13" ht="15">
      <c r="A154" s="2410">
        <v>211</v>
      </c>
      <c r="B154" s="2401"/>
      <c r="C154" s="2404"/>
      <c r="D154" s="2401"/>
      <c r="E154" s="2404"/>
      <c r="F154" s="2401"/>
      <c r="G154" s="2404"/>
      <c r="H154" s="2401"/>
      <c r="I154" s="2404"/>
      <c r="J154" s="2401"/>
      <c r="K154" s="2404"/>
      <c r="L154" s="2403">
        <f t="shared" si="46"/>
        <v>0</v>
      </c>
      <c r="M154" s="2404">
        <f t="shared" si="47"/>
        <v>0</v>
      </c>
    </row>
    <row r="155" spans="1:13" ht="15">
      <c r="A155" s="2396">
        <v>213</v>
      </c>
      <c r="B155" s="2313"/>
      <c r="C155" s="2315"/>
      <c r="D155" s="2313"/>
      <c r="E155" s="2315"/>
      <c r="F155" s="2313"/>
      <c r="G155" s="2315"/>
      <c r="H155" s="2313"/>
      <c r="I155" s="2315"/>
      <c r="J155" s="2313"/>
      <c r="K155" s="2315"/>
      <c r="L155" s="2314">
        <f t="shared" si="46"/>
        <v>0</v>
      </c>
      <c r="M155" s="2315">
        <f t="shared" si="47"/>
        <v>0</v>
      </c>
    </row>
    <row r="156" spans="1:13" ht="15.75" thickBot="1">
      <c r="A156" s="2412" t="s">
        <v>2717</v>
      </c>
      <c r="B156" s="2413">
        <v>500000</v>
      </c>
      <c r="C156" s="2415"/>
      <c r="D156" s="2413"/>
      <c r="E156" s="2509"/>
      <c r="F156" s="2413">
        <v>500000</v>
      </c>
      <c r="G156" s="2415"/>
      <c r="H156" s="2413"/>
      <c r="I156" s="2415"/>
      <c r="J156" s="2413"/>
      <c r="K156" s="2415"/>
      <c r="L156" s="2416">
        <f t="shared" si="46"/>
        <v>1000000</v>
      </c>
      <c r="M156" s="2415">
        <f t="shared" si="47"/>
        <v>0</v>
      </c>
    </row>
    <row r="157" spans="1:13" ht="16.5" thickBot="1">
      <c r="A157" s="2572">
        <v>409</v>
      </c>
      <c r="B157" s="2573">
        <f>B158</f>
        <v>1796000</v>
      </c>
      <c r="C157" s="2574">
        <f>C158</f>
        <v>281890</v>
      </c>
      <c r="D157" s="2573">
        <f>D158+D160</f>
        <v>898900</v>
      </c>
      <c r="E157" s="2577">
        <f>E158+E159+E160</f>
        <v>0</v>
      </c>
      <c r="F157" s="2573">
        <f>F158+F160</f>
        <v>173590</v>
      </c>
      <c r="G157" s="2574">
        <f>SUM(G158:G160)</f>
        <v>0</v>
      </c>
      <c r="H157" s="2573">
        <f>H158+H160+H159</f>
        <v>118000</v>
      </c>
      <c r="I157" s="2574">
        <f>SUM(I158:I160)</f>
        <v>0</v>
      </c>
      <c r="J157" s="2573">
        <f>J159+J158+J160</f>
        <v>0</v>
      </c>
      <c r="K157" s="2574">
        <f>K160</f>
        <v>0</v>
      </c>
      <c r="L157" s="2575">
        <f t="shared" si="46"/>
        <v>2986490</v>
      </c>
      <c r="M157" s="2574">
        <f t="shared" si="47"/>
        <v>281890</v>
      </c>
    </row>
    <row r="158" spans="1:13" ht="15">
      <c r="A158" s="2410" t="s">
        <v>2709</v>
      </c>
      <c r="B158" s="2401">
        <v>1796000</v>
      </c>
      <c r="C158" s="2404">
        <v>281890</v>
      </c>
      <c r="D158" s="2401"/>
      <c r="E158" s="2510"/>
      <c r="F158" s="2401"/>
      <c r="G158" s="2404"/>
      <c r="H158" s="2401">
        <v>118000</v>
      </c>
      <c r="I158" s="2404"/>
      <c r="J158" s="2401">
        <v>0</v>
      </c>
      <c r="K158" s="2404"/>
      <c r="L158" s="2403">
        <f t="shared" si="46"/>
        <v>1914000</v>
      </c>
      <c r="M158" s="2404">
        <f t="shared" si="47"/>
        <v>281890</v>
      </c>
    </row>
    <row r="159" spans="1:13" ht="15">
      <c r="A159" s="2396" t="s">
        <v>2710</v>
      </c>
      <c r="B159" s="2313"/>
      <c r="C159" s="2315"/>
      <c r="D159" s="2313"/>
      <c r="E159" s="2511"/>
      <c r="F159" s="2313"/>
      <c r="G159" s="2315"/>
      <c r="H159" s="2313"/>
      <c r="I159" s="2315"/>
      <c r="J159" s="2313"/>
      <c r="K159" s="2315"/>
      <c r="L159" s="2314">
        <f t="shared" si="46"/>
        <v>0</v>
      </c>
      <c r="M159" s="2315">
        <f t="shared" si="47"/>
        <v>0</v>
      </c>
    </row>
    <row r="160" spans="1:13" ht="15.75" thickBot="1">
      <c r="A160" s="2396" t="s">
        <v>2720</v>
      </c>
      <c r="B160" s="2504"/>
      <c r="C160" s="2505"/>
      <c r="D160" s="2504">
        <v>898900</v>
      </c>
      <c r="E160" s="2512"/>
      <c r="F160" s="2504">
        <v>173590</v>
      </c>
      <c r="G160" s="2505"/>
      <c r="H160" s="2504"/>
      <c r="I160" s="2505"/>
      <c r="J160" s="2504"/>
      <c r="K160" s="2505"/>
      <c r="L160" s="2314">
        <f t="shared" si="46"/>
        <v>1072490</v>
      </c>
      <c r="M160" s="2315">
        <f t="shared" si="47"/>
        <v>0</v>
      </c>
    </row>
    <row r="161" spans="1:13" ht="15">
      <c r="A161" s="911"/>
      <c r="B161" s="912"/>
      <c r="C161" s="912"/>
      <c r="D161" s="912"/>
      <c r="E161" s="913"/>
      <c r="F161" s="912"/>
      <c r="G161" s="912"/>
      <c r="H161" s="912"/>
      <c r="I161" s="912"/>
      <c r="J161" s="912"/>
      <c r="K161" s="912"/>
      <c r="L161" s="912"/>
      <c r="M161" s="912"/>
    </row>
    <row r="162" spans="1:13" ht="15">
      <c r="A162" s="911"/>
      <c r="B162" s="912"/>
      <c r="C162" s="912"/>
      <c r="D162" s="912"/>
      <c r="E162" s="913"/>
      <c r="F162" s="912"/>
      <c r="G162" s="912"/>
      <c r="H162" s="912"/>
      <c r="I162" s="912"/>
      <c r="J162" s="912"/>
      <c r="K162" s="912"/>
      <c r="L162" s="912"/>
      <c r="M162" s="912"/>
    </row>
    <row r="163" spans="1:13" ht="15">
      <c r="A163" s="352"/>
      <c r="B163" s="2645" t="s">
        <v>1280</v>
      </c>
      <c r="C163" s="2650"/>
      <c r="D163" s="2645" t="s">
        <v>1281</v>
      </c>
      <c r="E163" s="2650"/>
      <c r="F163" s="2645" t="s">
        <v>1282</v>
      </c>
      <c r="G163" s="2650"/>
      <c r="H163" s="2645" t="s">
        <v>1283</v>
      </c>
      <c r="I163" s="2650"/>
      <c r="J163" s="2645" t="s">
        <v>1284</v>
      </c>
      <c r="K163" s="2646"/>
      <c r="L163" s="822" t="s">
        <v>36</v>
      </c>
      <c r="M163" s="785" t="s">
        <v>844</v>
      </c>
    </row>
    <row r="164" spans="1:13" ht="15.75" thickBot="1">
      <c r="A164" s="2405"/>
      <c r="B164" s="2406" t="s">
        <v>1450</v>
      </c>
      <c r="C164" s="2407" t="s">
        <v>1451</v>
      </c>
      <c r="D164" s="2406" t="s">
        <v>1450</v>
      </c>
      <c r="E164" s="2407" t="s">
        <v>1451</v>
      </c>
      <c r="F164" s="2406" t="s">
        <v>1450</v>
      </c>
      <c r="G164" s="2407" t="s">
        <v>1451</v>
      </c>
      <c r="H164" s="2406" t="s">
        <v>1450</v>
      </c>
      <c r="I164" s="2407" t="s">
        <v>1451</v>
      </c>
      <c r="J164" s="2406" t="s">
        <v>1450</v>
      </c>
      <c r="K164" s="2408" t="s">
        <v>1451</v>
      </c>
      <c r="L164" s="2409" t="s">
        <v>1450</v>
      </c>
      <c r="M164" s="2408" t="s">
        <v>1451</v>
      </c>
    </row>
    <row r="165" spans="1:13" ht="16.5" thickBot="1">
      <c r="A165" s="2572">
        <v>412</v>
      </c>
      <c r="B165" s="2573">
        <f t="shared" ref="B165:K165" si="52">B166</f>
        <v>0</v>
      </c>
      <c r="C165" s="2574">
        <f t="shared" si="52"/>
        <v>0</v>
      </c>
      <c r="D165" s="2573">
        <f t="shared" si="52"/>
        <v>426100</v>
      </c>
      <c r="E165" s="2574">
        <f t="shared" si="52"/>
        <v>29700</v>
      </c>
      <c r="F165" s="2575">
        <f t="shared" si="52"/>
        <v>0</v>
      </c>
      <c r="G165" s="2578">
        <f t="shared" si="52"/>
        <v>0</v>
      </c>
      <c r="H165" s="2573">
        <f>H166+H167</f>
        <v>2000</v>
      </c>
      <c r="I165" s="2578">
        <f>I166+I167</f>
        <v>0</v>
      </c>
      <c r="J165" s="2573">
        <f t="shared" si="52"/>
        <v>0</v>
      </c>
      <c r="K165" s="2574">
        <f t="shared" si="52"/>
        <v>0</v>
      </c>
      <c r="L165" s="2575">
        <f t="shared" si="46"/>
        <v>428100</v>
      </c>
      <c r="M165" s="2574">
        <f t="shared" si="47"/>
        <v>29700</v>
      </c>
    </row>
    <row r="166" spans="1:13" ht="15">
      <c r="A166" s="2410" t="s">
        <v>2717</v>
      </c>
      <c r="B166" s="2401"/>
      <c r="C166" s="2404"/>
      <c r="D166" s="2401">
        <v>426100</v>
      </c>
      <c r="E166" s="2404">
        <v>29700</v>
      </c>
      <c r="F166" s="2403"/>
      <c r="G166" s="2411"/>
      <c r="H166" s="2401">
        <v>2000</v>
      </c>
      <c r="I166" s="2411"/>
      <c r="J166" s="2401"/>
      <c r="K166" s="2404"/>
      <c r="L166" s="2403">
        <f t="shared" si="46"/>
        <v>428100</v>
      </c>
      <c r="M166" s="2404">
        <f t="shared" si="47"/>
        <v>29700</v>
      </c>
    </row>
    <row r="167" spans="1:13" ht="15.75" thickBot="1">
      <c r="A167" s="2412" t="s">
        <v>2721</v>
      </c>
      <c r="B167" s="2413"/>
      <c r="C167" s="2415"/>
      <c r="D167" s="2413"/>
      <c r="E167" s="2415"/>
      <c r="F167" s="2416"/>
      <c r="G167" s="2414"/>
      <c r="H167" s="2458"/>
      <c r="I167" s="2414"/>
      <c r="J167" s="2413"/>
      <c r="K167" s="2415"/>
      <c r="L167" s="2416">
        <f t="shared" si="46"/>
        <v>0</v>
      </c>
      <c r="M167" s="2415">
        <f t="shared" si="47"/>
        <v>0</v>
      </c>
    </row>
    <row r="168" spans="1:13" ht="16.5" thickBot="1">
      <c r="A168" s="2572">
        <v>501</v>
      </c>
      <c r="B168" s="2573">
        <f>SUM(B172:B181)</f>
        <v>5547600</v>
      </c>
      <c r="C168" s="2579">
        <f t="shared" ref="C168:K168" si="53">SUM(C172:C181)</f>
        <v>130927</v>
      </c>
      <c r="D168" s="2573">
        <f t="shared" si="53"/>
        <v>360500</v>
      </c>
      <c r="E168" s="2579">
        <f t="shared" si="53"/>
        <v>0</v>
      </c>
      <c r="F168" s="2575">
        <f t="shared" si="53"/>
        <v>620417.42999999993</v>
      </c>
      <c r="G168" s="2575">
        <f t="shared" si="53"/>
        <v>1110</v>
      </c>
      <c r="H168" s="2573">
        <f t="shared" si="53"/>
        <v>328200</v>
      </c>
      <c r="I168" s="2580">
        <f t="shared" si="53"/>
        <v>79471</v>
      </c>
      <c r="J168" s="2573">
        <f t="shared" si="53"/>
        <v>2232000</v>
      </c>
      <c r="K168" s="2579">
        <f t="shared" si="53"/>
        <v>0</v>
      </c>
      <c r="L168" s="2575">
        <f t="shared" si="46"/>
        <v>9088717.4299999997</v>
      </c>
      <c r="M168" s="2574">
        <f t="shared" si="47"/>
        <v>211508</v>
      </c>
    </row>
    <row r="169" spans="1:13" ht="15">
      <c r="A169" s="2459" t="s">
        <v>3405</v>
      </c>
      <c r="B169" s="2401">
        <f>B172+B173+B174+B175+B177+B178+B180</f>
        <v>5547600</v>
      </c>
      <c r="C169" s="2487">
        <f t="shared" ref="C169:K169" si="54">C172+C173+C174+C175+C177+C178+C180</f>
        <v>130927</v>
      </c>
      <c r="D169" s="2401">
        <f t="shared" si="54"/>
        <v>360500</v>
      </c>
      <c r="E169" s="2487">
        <f t="shared" si="54"/>
        <v>0</v>
      </c>
      <c r="F169" s="2403">
        <f t="shared" si="54"/>
        <v>620417.42999999993</v>
      </c>
      <c r="G169" s="2403">
        <f t="shared" si="54"/>
        <v>1110</v>
      </c>
      <c r="H169" s="2401">
        <f t="shared" si="54"/>
        <v>328200</v>
      </c>
      <c r="I169" s="2535">
        <f t="shared" si="54"/>
        <v>79471</v>
      </c>
      <c r="J169" s="2401">
        <f t="shared" si="54"/>
        <v>2232000</v>
      </c>
      <c r="K169" s="2487">
        <f t="shared" si="54"/>
        <v>0</v>
      </c>
      <c r="L169" s="2403">
        <f t="shared" si="46"/>
        <v>9088717.4299999997</v>
      </c>
      <c r="M169" s="2404">
        <f t="shared" si="47"/>
        <v>211508</v>
      </c>
    </row>
    <row r="170" spans="1:13" ht="15">
      <c r="A170" s="2459" t="s">
        <v>1661</v>
      </c>
      <c r="B170" s="2401">
        <f>B176</f>
        <v>0</v>
      </c>
      <c r="C170" s="2487">
        <f t="shared" ref="C170:K170" si="55">C176</f>
        <v>0</v>
      </c>
      <c r="D170" s="2401">
        <f t="shared" si="55"/>
        <v>0</v>
      </c>
      <c r="E170" s="2487">
        <f t="shared" si="55"/>
        <v>0</v>
      </c>
      <c r="F170" s="2403">
        <f t="shared" si="55"/>
        <v>0</v>
      </c>
      <c r="G170" s="2403">
        <f t="shared" si="55"/>
        <v>0</v>
      </c>
      <c r="H170" s="2401">
        <f t="shared" si="55"/>
        <v>0</v>
      </c>
      <c r="I170" s="2535">
        <f t="shared" si="55"/>
        <v>0</v>
      </c>
      <c r="J170" s="2401">
        <f t="shared" si="55"/>
        <v>0</v>
      </c>
      <c r="K170" s="2487">
        <f t="shared" si="55"/>
        <v>0</v>
      </c>
      <c r="L170" s="2314">
        <f t="shared" si="46"/>
        <v>0</v>
      </c>
      <c r="M170" s="2315">
        <f t="shared" si="47"/>
        <v>0</v>
      </c>
    </row>
    <row r="171" spans="1:13" ht="15">
      <c r="A171" s="2459" t="s">
        <v>655</v>
      </c>
      <c r="B171" s="2401">
        <f>B179</f>
        <v>0</v>
      </c>
      <c r="C171" s="2487">
        <f t="shared" ref="C171:K171" si="56">C179</f>
        <v>0</v>
      </c>
      <c r="D171" s="2401">
        <f t="shared" si="56"/>
        <v>0</v>
      </c>
      <c r="E171" s="2487">
        <f t="shared" si="56"/>
        <v>0</v>
      </c>
      <c r="F171" s="2403">
        <f t="shared" si="56"/>
        <v>0</v>
      </c>
      <c r="G171" s="2403">
        <f t="shared" si="56"/>
        <v>0</v>
      </c>
      <c r="H171" s="2401">
        <f t="shared" si="56"/>
        <v>0</v>
      </c>
      <c r="I171" s="2535">
        <f t="shared" si="56"/>
        <v>0</v>
      </c>
      <c r="J171" s="2401">
        <f t="shared" si="56"/>
        <v>0</v>
      </c>
      <c r="K171" s="2487">
        <f t="shared" si="56"/>
        <v>0</v>
      </c>
      <c r="L171" s="2314">
        <f t="shared" si="46"/>
        <v>0</v>
      </c>
      <c r="M171" s="2315">
        <f t="shared" si="47"/>
        <v>0</v>
      </c>
    </row>
    <row r="172" spans="1:13" ht="15">
      <c r="A172" s="833" t="s">
        <v>2699</v>
      </c>
      <c r="B172" s="838">
        <v>100000</v>
      </c>
      <c r="C172" s="814">
        <v>41500</v>
      </c>
      <c r="D172" s="838"/>
      <c r="E172" s="814"/>
      <c r="F172" s="795"/>
      <c r="G172" s="800"/>
      <c r="H172" s="838"/>
      <c r="I172" s="800"/>
      <c r="J172" s="838"/>
      <c r="K172" s="814"/>
      <c r="L172" s="808">
        <f t="shared" si="46"/>
        <v>100000</v>
      </c>
      <c r="M172" s="794">
        <f t="shared" si="47"/>
        <v>41500</v>
      </c>
    </row>
    <row r="173" spans="1:13" ht="15">
      <c r="A173" s="833" t="s">
        <v>2769</v>
      </c>
      <c r="B173" s="838">
        <v>2735300</v>
      </c>
      <c r="C173" s="814"/>
      <c r="D173" s="838"/>
      <c r="E173" s="814"/>
      <c r="F173" s="795"/>
      <c r="G173" s="800"/>
      <c r="H173" s="838"/>
      <c r="I173" s="800"/>
      <c r="J173" s="838"/>
      <c r="K173" s="814"/>
      <c r="L173" s="808">
        <f t="shared" si="46"/>
        <v>2735300</v>
      </c>
      <c r="M173" s="794">
        <f t="shared" si="47"/>
        <v>0</v>
      </c>
    </row>
    <row r="174" spans="1:13" ht="15">
      <c r="A174" s="833" t="s">
        <v>2709</v>
      </c>
      <c r="B174" s="838">
        <v>1100000</v>
      </c>
      <c r="C174" s="814">
        <v>40794</v>
      </c>
      <c r="D174" s="1730"/>
      <c r="E174" s="2531"/>
      <c r="F174" s="795">
        <f>60000+17.43</f>
        <v>60017.43</v>
      </c>
      <c r="G174" s="800"/>
      <c r="H174" s="838">
        <v>328200</v>
      </c>
      <c r="I174" s="800">
        <v>79471</v>
      </c>
      <c r="J174" s="838">
        <v>2232000</v>
      </c>
      <c r="K174" s="814"/>
      <c r="L174" s="808">
        <f t="shared" si="46"/>
        <v>3720217.4299999997</v>
      </c>
      <c r="M174" s="794">
        <f t="shared" si="47"/>
        <v>120265</v>
      </c>
    </row>
    <row r="175" spans="1:13" ht="15">
      <c r="A175" s="833" t="s">
        <v>2710</v>
      </c>
      <c r="B175" s="838"/>
      <c r="C175" s="814"/>
      <c r="D175" s="838">
        <v>150000</v>
      </c>
      <c r="E175" s="814"/>
      <c r="F175" s="795"/>
      <c r="G175" s="800"/>
      <c r="H175" s="838"/>
      <c r="I175" s="800"/>
      <c r="J175" s="838"/>
      <c r="K175" s="814"/>
      <c r="L175" s="808">
        <f t="shared" si="46"/>
        <v>150000</v>
      </c>
      <c r="M175" s="794">
        <f t="shared" si="47"/>
        <v>0</v>
      </c>
    </row>
    <row r="176" spans="1:13" ht="15">
      <c r="A176" s="833" t="s">
        <v>2720</v>
      </c>
      <c r="B176" s="838"/>
      <c r="C176" s="814"/>
      <c r="D176" s="838"/>
      <c r="E176" s="814"/>
      <c r="F176" s="795"/>
      <c r="G176" s="800"/>
      <c r="H176" s="838"/>
      <c r="I176" s="800"/>
      <c r="J176" s="838"/>
      <c r="K176" s="814"/>
      <c r="L176" s="808">
        <f t="shared" si="46"/>
        <v>0</v>
      </c>
      <c r="M176" s="794">
        <f t="shared" si="47"/>
        <v>0</v>
      </c>
    </row>
    <row r="177" spans="1:13" ht="15">
      <c r="A177" s="833" t="s">
        <v>2715</v>
      </c>
      <c r="B177" s="838"/>
      <c r="C177" s="814"/>
      <c r="D177" s="838"/>
      <c r="E177" s="814"/>
      <c r="F177" s="795"/>
      <c r="G177" s="800"/>
      <c r="H177" s="838"/>
      <c r="I177" s="800"/>
      <c r="J177" s="838"/>
      <c r="K177" s="814"/>
      <c r="L177" s="808">
        <f t="shared" si="46"/>
        <v>0</v>
      </c>
      <c r="M177" s="794">
        <f t="shared" si="47"/>
        <v>0</v>
      </c>
    </row>
    <row r="178" spans="1:13" ht="15">
      <c r="A178" s="351" t="s">
        <v>2711</v>
      </c>
      <c r="B178" s="807">
        <v>612300</v>
      </c>
      <c r="C178" s="794"/>
      <c r="D178" s="807"/>
      <c r="E178" s="794"/>
      <c r="F178" s="795">
        <v>150400</v>
      </c>
      <c r="G178" s="784"/>
      <c r="H178" s="838"/>
      <c r="I178" s="784"/>
      <c r="J178" s="838"/>
      <c r="K178" s="794"/>
      <c r="L178" s="808">
        <f t="shared" si="46"/>
        <v>762700</v>
      </c>
      <c r="M178" s="794">
        <f t="shared" si="47"/>
        <v>0</v>
      </c>
    </row>
    <row r="179" spans="1:13" ht="15">
      <c r="A179" s="351" t="s">
        <v>2831</v>
      </c>
      <c r="B179" s="807"/>
      <c r="C179" s="794"/>
      <c r="D179" s="807"/>
      <c r="E179" s="2483"/>
      <c r="F179" s="795"/>
      <c r="G179" s="784"/>
      <c r="H179" s="838"/>
      <c r="I179" s="784"/>
      <c r="J179" s="807"/>
      <c r="K179" s="794"/>
      <c r="L179" s="808">
        <f t="shared" si="46"/>
        <v>0</v>
      </c>
      <c r="M179" s="794">
        <f t="shared" si="47"/>
        <v>0</v>
      </c>
    </row>
    <row r="180" spans="1:13" ht="15">
      <c r="A180" s="351" t="s">
        <v>2714</v>
      </c>
      <c r="B180" s="807">
        <v>1000000</v>
      </c>
      <c r="C180" s="794">
        <v>48633</v>
      </c>
      <c r="D180" s="838">
        <v>210500</v>
      </c>
      <c r="E180" s="2483"/>
      <c r="F180" s="795">
        <v>410000</v>
      </c>
      <c r="G180" s="784">
        <v>1110</v>
      </c>
      <c r="H180" s="838"/>
      <c r="I180" s="784"/>
      <c r="J180" s="838"/>
      <c r="K180" s="794"/>
      <c r="L180" s="808">
        <f t="shared" si="46"/>
        <v>1620500</v>
      </c>
      <c r="M180" s="794">
        <f t="shared" si="47"/>
        <v>49743</v>
      </c>
    </row>
    <row r="181" spans="1:13" ht="15.75" thickBot="1">
      <c r="A181" s="2425" t="s">
        <v>2845</v>
      </c>
      <c r="B181" s="2420"/>
      <c r="C181" s="2423"/>
      <c r="D181" s="2420"/>
      <c r="E181" s="2532"/>
      <c r="F181" s="2496"/>
      <c r="G181" s="2421"/>
      <c r="H181" s="2420"/>
      <c r="I181" s="2421"/>
      <c r="J181" s="2422"/>
      <c r="K181" s="2423"/>
      <c r="L181" s="2424">
        <f t="shared" si="46"/>
        <v>0</v>
      </c>
      <c r="M181" s="2423">
        <f t="shared" si="47"/>
        <v>0</v>
      </c>
    </row>
    <row r="182" spans="1:13" ht="16.5" thickBot="1">
      <c r="A182" s="2581">
        <v>502</v>
      </c>
      <c r="B182" s="2573">
        <f>SUM(B186:B194)</f>
        <v>620000</v>
      </c>
      <c r="C182" s="2579">
        <f t="shared" ref="C182:K182" si="57">SUM(C186:C194)</f>
        <v>120456.32000000001</v>
      </c>
      <c r="D182" s="2573">
        <f t="shared" si="57"/>
        <v>822192.22</v>
      </c>
      <c r="E182" s="2579">
        <f t="shared" si="57"/>
        <v>0</v>
      </c>
      <c r="F182" s="2575">
        <f t="shared" si="57"/>
        <v>603900</v>
      </c>
      <c r="G182" s="2575">
        <f t="shared" si="57"/>
        <v>99448</v>
      </c>
      <c r="H182" s="2573">
        <f t="shared" si="57"/>
        <v>1356800</v>
      </c>
      <c r="I182" s="2580">
        <f t="shared" si="57"/>
        <v>0</v>
      </c>
      <c r="J182" s="2573">
        <f t="shared" si="57"/>
        <v>0</v>
      </c>
      <c r="K182" s="2579">
        <f t="shared" si="57"/>
        <v>0</v>
      </c>
      <c r="L182" s="2575">
        <f t="shared" si="46"/>
        <v>3402892.2199999997</v>
      </c>
      <c r="M182" s="2574">
        <f t="shared" si="47"/>
        <v>219904.32</v>
      </c>
    </row>
    <row r="183" spans="1:13" ht="15">
      <c r="A183" s="2513" t="s">
        <v>2832</v>
      </c>
      <c r="B183" s="2401">
        <f>B187</f>
        <v>0</v>
      </c>
      <c r="C183" s="2404">
        <f t="shared" ref="C183:K183" si="58">C187</f>
        <v>0</v>
      </c>
      <c r="D183" s="2401">
        <f t="shared" si="58"/>
        <v>0</v>
      </c>
      <c r="E183" s="2404">
        <f t="shared" si="58"/>
        <v>0</v>
      </c>
      <c r="F183" s="2403">
        <f t="shared" si="58"/>
        <v>0</v>
      </c>
      <c r="G183" s="2452">
        <f t="shared" si="58"/>
        <v>0</v>
      </c>
      <c r="H183" s="2452">
        <f t="shared" si="58"/>
        <v>0</v>
      </c>
      <c r="I183" s="2411">
        <f t="shared" si="58"/>
        <v>0</v>
      </c>
      <c r="J183" s="2401">
        <f t="shared" si="58"/>
        <v>0</v>
      </c>
      <c r="K183" s="2404">
        <f t="shared" si="58"/>
        <v>0</v>
      </c>
      <c r="L183" s="2403">
        <f t="shared" si="46"/>
        <v>0</v>
      </c>
      <c r="M183" s="2404">
        <f t="shared" si="47"/>
        <v>0</v>
      </c>
    </row>
    <row r="184" spans="1:13" ht="15">
      <c r="A184" s="2514" t="s">
        <v>3405</v>
      </c>
      <c r="B184" s="2313">
        <f>B186+B188+B189+B190+B191+B192</f>
        <v>620000</v>
      </c>
      <c r="C184" s="2315">
        <f t="shared" ref="C184:K184" si="59">C186+C188+C189+C190+C191+C192</f>
        <v>120456.32000000001</v>
      </c>
      <c r="D184" s="2313">
        <f t="shared" si="59"/>
        <v>822192.22</v>
      </c>
      <c r="E184" s="2315">
        <f t="shared" si="59"/>
        <v>0</v>
      </c>
      <c r="F184" s="2314">
        <f t="shared" si="59"/>
        <v>603900</v>
      </c>
      <c r="G184" s="2453">
        <f t="shared" si="59"/>
        <v>99448</v>
      </c>
      <c r="H184" s="2453">
        <f t="shared" si="59"/>
        <v>1356800</v>
      </c>
      <c r="I184" s="2397">
        <f t="shared" si="59"/>
        <v>0</v>
      </c>
      <c r="J184" s="2313">
        <f t="shared" si="59"/>
        <v>0</v>
      </c>
      <c r="K184" s="2315">
        <f t="shared" si="59"/>
        <v>0</v>
      </c>
      <c r="L184" s="2403">
        <f t="shared" si="46"/>
        <v>3402892.2199999997</v>
      </c>
      <c r="M184" s="2404">
        <f t="shared" si="47"/>
        <v>219904.32</v>
      </c>
    </row>
    <row r="185" spans="1:13" ht="15">
      <c r="A185" s="2514" t="s">
        <v>1661</v>
      </c>
      <c r="B185" s="2313">
        <f>B194</f>
        <v>0</v>
      </c>
      <c r="C185" s="2315">
        <f t="shared" ref="C185:K185" si="60">C194</f>
        <v>0</v>
      </c>
      <c r="D185" s="2313">
        <f t="shared" si="60"/>
        <v>0</v>
      </c>
      <c r="E185" s="2315">
        <f t="shared" si="60"/>
        <v>0</v>
      </c>
      <c r="F185" s="2314">
        <f t="shared" si="60"/>
        <v>0</v>
      </c>
      <c r="G185" s="2453">
        <f t="shared" si="60"/>
        <v>0</v>
      </c>
      <c r="H185" s="2453">
        <f t="shared" si="60"/>
        <v>0</v>
      </c>
      <c r="I185" s="2397">
        <f t="shared" si="60"/>
        <v>0</v>
      </c>
      <c r="J185" s="2313">
        <f t="shared" si="60"/>
        <v>0</v>
      </c>
      <c r="K185" s="2315">
        <f t="shared" si="60"/>
        <v>0</v>
      </c>
      <c r="L185" s="2403">
        <f t="shared" si="46"/>
        <v>0</v>
      </c>
      <c r="M185" s="2404">
        <f t="shared" si="47"/>
        <v>0</v>
      </c>
    </row>
    <row r="186" spans="1:13" ht="15">
      <c r="A186" s="2460" t="s">
        <v>2707</v>
      </c>
      <c r="B186" s="2447">
        <v>200000</v>
      </c>
      <c r="C186" s="2450">
        <v>120456.32000000001</v>
      </c>
      <c r="D186" s="2447">
        <v>20000</v>
      </c>
      <c r="E186" s="2450"/>
      <c r="F186" s="2457">
        <v>150000</v>
      </c>
      <c r="G186" s="2448">
        <v>96000</v>
      </c>
      <c r="H186" s="2447"/>
      <c r="I186" s="2448"/>
      <c r="J186" s="2447"/>
      <c r="K186" s="2450"/>
      <c r="L186" s="2440">
        <f t="shared" si="46"/>
        <v>370000</v>
      </c>
      <c r="M186" s="2439">
        <f t="shared" si="47"/>
        <v>216456.32000000001</v>
      </c>
    </row>
    <row r="187" spans="1:13" ht="15">
      <c r="A187" s="604" t="s">
        <v>2770</v>
      </c>
      <c r="B187" s="838"/>
      <c r="C187" s="814"/>
      <c r="D187" s="838"/>
      <c r="E187" s="814"/>
      <c r="F187" s="795"/>
      <c r="G187" s="800"/>
      <c r="H187" s="838"/>
      <c r="I187" s="800"/>
      <c r="J187" s="838"/>
      <c r="K187" s="814"/>
      <c r="L187" s="808">
        <f t="shared" si="46"/>
        <v>0</v>
      </c>
      <c r="M187" s="794">
        <f t="shared" si="47"/>
        <v>0</v>
      </c>
    </row>
    <row r="188" spans="1:13" ht="15">
      <c r="A188" s="351" t="s">
        <v>2709</v>
      </c>
      <c r="B188" s="838">
        <v>220000</v>
      </c>
      <c r="C188" s="794"/>
      <c r="D188" s="838">
        <f>50000+512600+189592.22</f>
        <v>752192.22</v>
      </c>
      <c r="E188" s="794"/>
      <c r="F188" s="795">
        <f>100000+243900</f>
        <v>343900</v>
      </c>
      <c r="G188" s="784">
        <v>3448</v>
      </c>
      <c r="H188" s="838">
        <f>261500+1001000</f>
        <v>1262500</v>
      </c>
      <c r="I188" s="784"/>
      <c r="J188" s="838"/>
      <c r="K188" s="794"/>
      <c r="L188" s="808">
        <f t="shared" si="46"/>
        <v>2578592.2199999997</v>
      </c>
      <c r="M188" s="794">
        <f t="shared" si="47"/>
        <v>3448</v>
      </c>
    </row>
    <row r="189" spans="1:13" ht="15">
      <c r="A189" s="351" t="s">
        <v>2710</v>
      </c>
      <c r="B189" s="838"/>
      <c r="C189" s="794"/>
      <c r="D189" s="838">
        <f>50000</f>
        <v>50000</v>
      </c>
      <c r="E189" s="794"/>
      <c r="F189" s="795">
        <v>10000</v>
      </c>
      <c r="G189" s="784"/>
      <c r="H189" s="838">
        <v>94300</v>
      </c>
      <c r="I189" s="784"/>
      <c r="J189" s="838"/>
      <c r="K189" s="794"/>
      <c r="L189" s="808">
        <f t="shared" si="46"/>
        <v>154300</v>
      </c>
      <c r="M189" s="794">
        <f t="shared" si="47"/>
        <v>0</v>
      </c>
    </row>
    <row r="190" spans="1:13" ht="15">
      <c r="A190" s="351" t="s">
        <v>2769</v>
      </c>
      <c r="B190" s="838"/>
      <c r="C190" s="794"/>
      <c r="D190" s="807"/>
      <c r="E190" s="794"/>
      <c r="F190" s="795"/>
      <c r="G190" s="784"/>
      <c r="H190" s="838"/>
      <c r="I190" s="784"/>
      <c r="J190" s="838"/>
      <c r="K190" s="794"/>
      <c r="L190" s="808">
        <f t="shared" si="46"/>
        <v>0</v>
      </c>
      <c r="M190" s="794">
        <f t="shared" si="47"/>
        <v>0</v>
      </c>
    </row>
    <row r="191" spans="1:13" ht="15">
      <c r="A191" s="351" t="s">
        <v>2711</v>
      </c>
      <c r="B191" s="838"/>
      <c r="C191" s="794"/>
      <c r="D191" s="807"/>
      <c r="E191" s="794"/>
      <c r="F191" s="795">
        <v>50000</v>
      </c>
      <c r="G191" s="784"/>
      <c r="H191" s="807"/>
      <c r="I191" s="784"/>
      <c r="J191" s="838"/>
      <c r="K191" s="794"/>
      <c r="L191" s="808">
        <f t="shared" si="46"/>
        <v>50000</v>
      </c>
      <c r="M191" s="794">
        <f t="shared" si="47"/>
        <v>0</v>
      </c>
    </row>
    <row r="192" spans="1:13" ht="15">
      <c r="A192" s="351" t="s">
        <v>2714</v>
      </c>
      <c r="B192" s="838">
        <v>200000</v>
      </c>
      <c r="C192" s="794"/>
      <c r="D192" s="838"/>
      <c r="E192" s="794"/>
      <c r="F192" s="795">
        <v>50000</v>
      </c>
      <c r="G192" s="784"/>
      <c r="H192" s="838"/>
      <c r="I192" s="784"/>
      <c r="J192" s="838"/>
      <c r="K192" s="794"/>
      <c r="L192" s="808">
        <f t="shared" si="46"/>
        <v>250000</v>
      </c>
      <c r="M192" s="794">
        <f t="shared" si="47"/>
        <v>0</v>
      </c>
    </row>
    <row r="193" spans="1:13" ht="15">
      <c r="A193" s="351" t="s">
        <v>2846</v>
      </c>
      <c r="B193" s="838"/>
      <c r="C193" s="794"/>
      <c r="D193" s="807"/>
      <c r="E193" s="794"/>
      <c r="F193" s="808"/>
      <c r="G193" s="784"/>
      <c r="H193" s="838"/>
      <c r="I193" s="784"/>
      <c r="J193" s="838"/>
      <c r="K193" s="794"/>
      <c r="L193" s="808">
        <f t="shared" si="46"/>
        <v>0</v>
      </c>
      <c r="M193" s="794">
        <f t="shared" si="47"/>
        <v>0</v>
      </c>
    </row>
    <row r="194" spans="1:13" ht="15.75" thickBot="1">
      <c r="A194" s="2425" t="s">
        <v>2720</v>
      </c>
      <c r="B194" s="2420"/>
      <c r="C194" s="2423"/>
      <c r="D194" s="2422"/>
      <c r="E194" s="2423"/>
      <c r="F194" s="2424"/>
      <c r="G194" s="2421"/>
      <c r="H194" s="2422"/>
      <c r="I194" s="2421"/>
      <c r="J194" s="2420"/>
      <c r="K194" s="2423"/>
      <c r="L194" s="2424">
        <f t="shared" si="46"/>
        <v>0</v>
      </c>
      <c r="M194" s="2423">
        <f t="shared" si="47"/>
        <v>0</v>
      </c>
    </row>
    <row r="195" spans="1:13" ht="16.5" thickBot="1">
      <c r="A195" s="2572">
        <v>503</v>
      </c>
      <c r="B195" s="2573">
        <f>SUM(B198:B206)</f>
        <v>1276400</v>
      </c>
      <c r="C195" s="2574">
        <f t="shared" ref="C195:K195" si="61">SUM(C198:C206)</f>
        <v>207948.56</v>
      </c>
      <c r="D195" s="2573">
        <f t="shared" si="61"/>
        <v>830000</v>
      </c>
      <c r="E195" s="2574">
        <f t="shared" si="61"/>
        <v>166134.62</v>
      </c>
      <c r="F195" s="2575">
        <f t="shared" si="61"/>
        <v>850000</v>
      </c>
      <c r="G195" s="2582">
        <f t="shared" si="61"/>
        <v>40249</v>
      </c>
      <c r="H195" s="2582">
        <f t="shared" si="61"/>
        <v>185000</v>
      </c>
      <c r="I195" s="2578">
        <f t="shared" si="61"/>
        <v>8881.09</v>
      </c>
      <c r="J195" s="2573">
        <f t="shared" si="61"/>
        <v>0</v>
      </c>
      <c r="K195" s="2574">
        <f t="shared" si="61"/>
        <v>0</v>
      </c>
      <c r="L195" s="2575">
        <f t="shared" si="46"/>
        <v>3141400</v>
      </c>
      <c r="M195" s="2574">
        <f t="shared" si="47"/>
        <v>423213.27</v>
      </c>
    </row>
    <row r="196" spans="1:13" ht="15">
      <c r="A196" s="2515" t="s">
        <v>3405</v>
      </c>
      <c r="B196" s="2523">
        <f>B198+B199+B200+B201+B202+B203+B204+B205</f>
        <v>1276400</v>
      </c>
      <c r="C196" s="2524">
        <f t="shared" ref="C196:K196" si="62">C198+C199+C200+C201+C202+C203+C204+C205</f>
        <v>207948.56</v>
      </c>
      <c r="D196" s="2523">
        <f t="shared" si="62"/>
        <v>480000</v>
      </c>
      <c r="E196" s="2524">
        <f>E198+E199+E200+E201+E202+E203+E204+E205</f>
        <v>94831.86</v>
      </c>
      <c r="F196" s="2517">
        <f t="shared" si="62"/>
        <v>650000</v>
      </c>
      <c r="G196" s="2465">
        <f t="shared" si="62"/>
        <v>31926.639999999999</v>
      </c>
      <c r="H196" s="2465">
        <f t="shared" si="62"/>
        <v>115000</v>
      </c>
      <c r="I196" s="2536">
        <f t="shared" si="62"/>
        <v>0</v>
      </c>
      <c r="J196" s="2523">
        <f t="shared" si="62"/>
        <v>0</v>
      </c>
      <c r="K196" s="2524">
        <f t="shared" si="62"/>
        <v>0</v>
      </c>
      <c r="L196" s="2403">
        <f t="shared" si="46"/>
        <v>2521400</v>
      </c>
      <c r="M196" s="2404">
        <f t="shared" si="47"/>
        <v>334707.06</v>
      </c>
    </row>
    <row r="197" spans="1:13" ht="15">
      <c r="A197" s="2516" t="s">
        <v>1661</v>
      </c>
      <c r="B197" s="2467">
        <f>B206</f>
        <v>0</v>
      </c>
      <c r="C197" s="2469">
        <f t="shared" ref="C197:K197" si="63">C206</f>
        <v>0</v>
      </c>
      <c r="D197" s="2467">
        <f t="shared" si="63"/>
        <v>350000</v>
      </c>
      <c r="E197" s="2469">
        <f t="shared" si="63"/>
        <v>71302.759999999995</v>
      </c>
      <c r="F197" s="2518">
        <f t="shared" si="63"/>
        <v>200000</v>
      </c>
      <c r="G197" s="2466">
        <f t="shared" si="63"/>
        <v>8322.36</v>
      </c>
      <c r="H197" s="2466">
        <f t="shared" si="63"/>
        <v>70000</v>
      </c>
      <c r="I197" s="2468">
        <f t="shared" si="63"/>
        <v>8881.09</v>
      </c>
      <c r="J197" s="2467">
        <f t="shared" si="63"/>
        <v>0</v>
      </c>
      <c r="K197" s="2469">
        <f t="shared" si="63"/>
        <v>0</v>
      </c>
      <c r="L197" s="2403">
        <f t="shared" si="46"/>
        <v>620000</v>
      </c>
      <c r="M197" s="2404">
        <f t="shared" si="47"/>
        <v>88506.209999999992</v>
      </c>
    </row>
    <row r="198" spans="1:13" ht="15">
      <c r="A198" s="2461" t="s">
        <v>2707</v>
      </c>
      <c r="B198" s="2449">
        <v>200000</v>
      </c>
      <c r="C198" s="2464">
        <v>8821.5400000000009</v>
      </c>
      <c r="D198" s="2463">
        <v>250000</v>
      </c>
      <c r="E198" s="2464">
        <v>93131.86</v>
      </c>
      <c r="F198" s="2506">
        <v>40000</v>
      </c>
      <c r="G198" s="2462"/>
      <c r="H198" s="2449"/>
      <c r="I198" s="2462"/>
      <c r="J198" s="2449"/>
      <c r="K198" s="2464"/>
      <c r="L198" s="2457">
        <f t="shared" si="46"/>
        <v>490000</v>
      </c>
      <c r="M198" s="2450">
        <f t="shared" si="47"/>
        <v>101953.4</v>
      </c>
    </row>
    <row r="199" spans="1:13" ht="15">
      <c r="A199" s="351" t="s">
        <v>2708</v>
      </c>
      <c r="B199" s="807">
        <v>150000</v>
      </c>
      <c r="C199" s="794">
        <v>47616.75</v>
      </c>
      <c r="D199" s="838"/>
      <c r="E199" s="794"/>
      <c r="F199" s="808"/>
      <c r="G199" s="784"/>
      <c r="H199" s="807">
        <v>115000</v>
      </c>
      <c r="I199" s="784"/>
      <c r="J199" s="1996"/>
      <c r="K199" s="794"/>
      <c r="L199" s="808">
        <f t="shared" si="46"/>
        <v>265000</v>
      </c>
      <c r="M199" s="794">
        <f t="shared" si="47"/>
        <v>47616.75</v>
      </c>
    </row>
    <row r="200" spans="1:13" ht="15">
      <c r="A200" s="351" t="s">
        <v>2722</v>
      </c>
      <c r="B200" s="807"/>
      <c r="C200" s="794"/>
      <c r="D200" s="807"/>
      <c r="E200" s="794"/>
      <c r="F200" s="808"/>
      <c r="G200" s="784"/>
      <c r="H200" s="807"/>
      <c r="I200" s="784"/>
      <c r="J200" s="1996"/>
      <c r="K200" s="794"/>
      <c r="L200" s="808">
        <f t="shared" si="46"/>
        <v>0</v>
      </c>
      <c r="M200" s="794">
        <f t="shared" si="47"/>
        <v>0</v>
      </c>
    </row>
    <row r="201" spans="1:13" ht="15">
      <c r="A201" s="351" t="s">
        <v>2709</v>
      </c>
      <c r="B201" s="807">
        <v>806400</v>
      </c>
      <c r="C201" s="794">
        <v>123710.27</v>
      </c>
      <c r="D201" s="838">
        <v>45000</v>
      </c>
      <c r="E201" s="794"/>
      <c r="F201" s="795">
        <v>195000</v>
      </c>
      <c r="G201" s="784">
        <v>3542.64</v>
      </c>
      <c r="H201" s="838"/>
      <c r="I201" s="784"/>
      <c r="J201" s="1996"/>
      <c r="K201" s="794"/>
      <c r="L201" s="808">
        <f t="shared" si="46"/>
        <v>1046400</v>
      </c>
      <c r="M201" s="794">
        <f t="shared" si="47"/>
        <v>127252.91</v>
      </c>
    </row>
    <row r="202" spans="1:13" ht="15">
      <c r="A202" s="351" t="s">
        <v>2717</v>
      </c>
      <c r="B202" s="807"/>
      <c r="C202" s="794"/>
      <c r="D202" s="838">
        <v>175000</v>
      </c>
      <c r="E202" s="794"/>
      <c r="F202" s="795">
        <v>155000</v>
      </c>
      <c r="G202" s="784">
        <v>13794</v>
      </c>
      <c r="H202" s="838"/>
      <c r="I202" s="784"/>
      <c r="J202" s="1996"/>
      <c r="K202" s="794"/>
      <c r="L202" s="808">
        <f t="shared" si="46"/>
        <v>330000</v>
      </c>
      <c r="M202" s="794">
        <f t="shared" si="47"/>
        <v>13794</v>
      </c>
    </row>
    <row r="203" spans="1:13" ht="15">
      <c r="A203" s="351" t="s">
        <v>2711</v>
      </c>
      <c r="B203" s="807">
        <v>70000</v>
      </c>
      <c r="C203" s="794"/>
      <c r="D203" s="807"/>
      <c r="E203" s="794"/>
      <c r="F203" s="795">
        <v>45000</v>
      </c>
      <c r="G203" s="784"/>
      <c r="H203" s="838"/>
      <c r="I203" s="784"/>
      <c r="J203" s="1996"/>
      <c r="K203" s="794"/>
      <c r="L203" s="808">
        <f t="shared" si="46"/>
        <v>115000</v>
      </c>
      <c r="M203" s="794">
        <f t="shared" si="47"/>
        <v>0</v>
      </c>
    </row>
    <row r="204" spans="1:13" ht="15">
      <c r="A204" s="351" t="s">
        <v>2714</v>
      </c>
      <c r="B204" s="807">
        <v>50000</v>
      </c>
      <c r="C204" s="794">
        <v>27800</v>
      </c>
      <c r="D204" s="838">
        <v>10000</v>
      </c>
      <c r="E204" s="794">
        <v>1700</v>
      </c>
      <c r="F204" s="795">
        <v>205000</v>
      </c>
      <c r="G204" s="784">
        <v>14590</v>
      </c>
      <c r="H204" s="838"/>
      <c r="I204" s="784"/>
      <c r="J204" s="838"/>
      <c r="K204" s="794"/>
      <c r="L204" s="808">
        <f t="shared" si="46"/>
        <v>265000</v>
      </c>
      <c r="M204" s="794">
        <f t="shared" si="47"/>
        <v>44090</v>
      </c>
    </row>
    <row r="205" spans="1:13" ht="15">
      <c r="A205" s="351" t="s">
        <v>2768</v>
      </c>
      <c r="B205" s="807"/>
      <c r="C205" s="794"/>
      <c r="D205" s="807"/>
      <c r="E205" s="794"/>
      <c r="F205" s="795">
        <v>10000</v>
      </c>
      <c r="G205" s="784"/>
      <c r="H205" s="838"/>
      <c r="I205" s="784"/>
      <c r="J205" s="838"/>
      <c r="K205" s="794"/>
      <c r="L205" s="808">
        <f t="shared" si="46"/>
        <v>10000</v>
      </c>
      <c r="M205" s="794"/>
    </row>
    <row r="206" spans="1:13" ht="15.75" thickBot="1">
      <c r="A206" s="2425" t="s">
        <v>2720</v>
      </c>
      <c r="B206" s="2420"/>
      <c r="C206" s="2423"/>
      <c r="D206" s="2422">
        <v>350000</v>
      </c>
      <c r="E206" s="2423">
        <v>71302.759999999995</v>
      </c>
      <c r="F206" s="2496">
        <v>200000</v>
      </c>
      <c r="G206" s="2421">
        <v>8322.36</v>
      </c>
      <c r="H206" s="2422">
        <v>70000</v>
      </c>
      <c r="I206" s="2421">
        <v>8881.09</v>
      </c>
      <c r="J206" s="2422"/>
      <c r="K206" s="2423"/>
      <c r="L206" s="2424">
        <f t="shared" si="46"/>
        <v>620000</v>
      </c>
      <c r="M206" s="2423">
        <f t="shared" si="47"/>
        <v>88506.209999999992</v>
      </c>
    </row>
    <row r="207" spans="1:13" ht="16.5" thickBot="1">
      <c r="A207" s="2572">
        <v>504</v>
      </c>
      <c r="B207" s="2573">
        <f>B208</f>
        <v>0</v>
      </c>
      <c r="C207" s="2574">
        <f t="shared" ref="C207:K207" si="64">C208</f>
        <v>0</v>
      </c>
      <c r="D207" s="2573">
        <f t="shared" si="64"/>
        <v>0</v>
      </c>
      <c r="E207" s="2574">
        <f>E208</f>
        <v>0</v>
      </c>
      <c r="F207" s="2575">
        <f t="shared" si="64"/>
        <v>0</v>
      </c>
      <c r="G207" s="2578">
        <f t="shared" si="64"/>
        <v>0</v>
      </c>
      <c r="H207" s="2573">
        <f>H208</f>
        <v>0</v>
      </c>
      <c r="I207" s="2578">
        <f t="shared" si="64"/>
        <v>0</v>
      </c>
      <c r="J207" s="2573">
        <f t="shared" si="64"/>
        <v>0</v>
      </c>
      <c r="K207" s="2574">
        <f t="shared" si="64"/>
        <v>0</v>
      </c>
      <c r="L207" s="2575">
        <f t="shared" si="46"/>
        <v>0</v>
      </c>
      <c r="M207" s="2574">
        <f t="shared" si="47"/>
        <v>0</v>
      </c>
    </row>
    <row r="208" spans="1:13" ht="15.75" thickBot="1">
      <c r="A208" s="911" t="s">
        <v>2832</v>
      </c>
      <c r="B208" s="2470"/>
      <c r="C208" s="2472"/>
      <c r="D208" s="2470"/>
      <c r="E208" s="2472"/>
      <c r="F208" s="2473"/>
      <c r="G208" s="2471"/>
      <c r="H208" s="2470"/>
      <c r="I208" s="2471"/>
      <c r="J208" s="2470"/>
      <c r="K208" s="2472"/>
      <c r="L208" s="2473">
        <f t="shared" si="46"/>
        <v>0</v>
      </c>
      <c r="M208" s="2472">
        <f t="shared" si="47"/>
        <v>0</v>
      </c>
    </row>
    <row r="209" spans="1:13" ht="16.5" thickBot="1">
      <c r="A209" s="2572">
        <v>801</v>
      </c>
      <c r="B209" s="2573">
        <f>SUM(B212:B217)</f>
        <v>374000</v>
      </c>
      <c r="C209" s="2574">
        <f>SUM(C212:C217)</f>
        <v>48600</v>
      </c>
      <c r="D209" s="2573">
        <f>SUM(D212:D217)</f>
        <v>150000</v>
      </c>
      <c r="E209" s="2579">
        <f>SUM(E212:E217)</f>
        <v>7650</v>
      </c>
      <c r="F209" s="2575">
        <f>SUM(F212:F217)</f>
        <v>110000</v>
      </c>
      <c r="G209" s="2575">
        <f>G214+G215+G217+G216+G212</f>
        <v>9600</v>
      </c>
      <c r="H209" s="2573">
        <f>SUM(H212:H217)</f>
        <v>50000</v>
      </c>
      <c r="I209" s="2580">
        <f>I212+I214+I215+I216+I217</f>
        <v>0</v>
      </c>
      <c r="J209" s="2573">
        <f>SUM(J212:J217)</f>
        <v>0</v>
      </c>
      <c r="K209" s="2579">
        <f>K212+K213+K214+K215+K216+K217</f>
        <v>0</v>
      </c>
      <c r="L209" s="2575">
        <f t="shared" si="46"/>
        <v>684000</v>
      </c>
      <c r="M209" s="2574">
        <f t="shared" si="47"/>
        <v>65850</v>
      </c>
    </row>
    <row r="210" spans="1:13" ht="15">
      <c r="A210" s="2459" t="s">
        <v>3405</v>
      </c>
      <c r="B210" s="2484">
        <f>B212+B213+B214+B215+B216</f>
        <v>374000</v>
      </c>
      <c r="C210" s="2487">
        <f t="shared" ref="C210:K210" si="65">C212+C213+C214+C215+C216</f>
        <v>48600</v>
      </c>
      <c r="D210" s="2484">
        <f t="shared" si="65"/>
        <v>150000</v>
      </c>
      <c r="E210" s="2487">
        <f t="shared" si="65"/>
        <v>7650</v>
      </c>
      <c r="F210" s="2403">
        <f t="shared" si="65"/>
        <v>110000</v>
      </c>
      <c r="G210" s="2403">
        <f t="shared" si="65"/>
        <v>9600</v>
      </c>
      <c r="H210" s="2401">
        <f t="shared" si="65"/>
        <v>50000</v>
      </c>
      <c r="I210" s="2535">
        <f t="shared" si="65"/>
        <v>0</v>
      </c>
      <c r="J210" s="2401">
        <f t="shared" si="65"/>
        <v>0</v>
      </c>
      <c r="K210" s="2487">
        <f t="shared" si="65"/>
        <v>0</v>
      </c>
      <c r="L210" s="2403">
        <f t="shared" si="46"/>
        <v>684000</v>
      </c>
      <c r="M210" s="2404">
        <f t="shared" si="47"/>
        <v>65850</v>
      </c>
    </row>
    <row r="211" spans="1:13" ht="15">
      <c r="A211" s="2400" t="s">
        <v>1661</v>
      </c>
      <c r="B211" s="2313">
        <f>B217</f>
        <v>0</v>
      </c>
      <c r="C211" s="2488">
        <f t="shared" ref="C211:K211" si="66">C217</f>
        <v>0</v>
      </c>
      <c r="D211" s="2313">
        <f t="shared" si="66"/>
        <v>0</v>
      </c>
      <c r="E211" s="2488">
        <f t="shared" si="66"/>
        <v>0</v>
      </c>
      <c r="F211" s="2314">
        <f t="shared" si="66"/>
        <v>0</v>
      </c>
      <c r="G211" s="2314">
        <f t="shared" si="66"/>
        <v>0</v>
      </c>
      <c r="H211" s="2313">
        <f t="shared" si="66"/>
        <v>0</v>
      </c>
      <c r="I211" s="2537">
        <f t="shared" si="66"/>
        <v>0</v>
      </c>
      <c r="J211" s="2313">
        <f t="shared" si="66"/>
        <v>0</v>
      </c>
      <c r="K211" s="2488">
        <f t="shared" si="66"/>
        <v>0</v>
      </c>
      <c r="L211" s="2314">
        <f t="shared" si="46"/>
        <v>0</v>
      </c>
      <c r="M211" s="2315">
        <f t="shared" si="47"/>
        <v>0</v>
      </c>
    </row>
    <row r="212" spans="1:13" ht="15">
      <c r="A212" s="833" t="s">
        <v>2707</v>
      </c>
      <c r="B212" s="838"/>
      <c r="C212" s="814"/>
      <c r="D212" s="838"/>
      <c r="E212" s="2451"/>
      <c r="F212" s="795"/>
      <c r="G212" s="1120"/>
      <c r="H212" s="838"/>
      <c r="I212" s="800"/>
      <c r="J212" s="838"/>
      <c r="K212" s="814"/>
      <c r="L212" s="808">
        <f t="shared" si="46"/>
        <v>0</v>
      </c>
      <c r="M212" s="794">
        <f t="shared" si="47"/>
        <v>0</v>
      </c>
    </row>
    <row r="213" spans="1:13" ht="15">
      <c r="A213" s="833" t="s">
        <v>2710</v>
      </c>
      <c r="B213" s="838">
        <v>85000</v>
      </c>
      <c r="C213" s="814">
        <v>12000</v>
      </c>
      <c r="D213" s="838">
        <v>30000</v>
      </c>
      <c r="E213" s="2451"/>
      <c r="F213" s="795"/>
      <c r="G213" s="1120"/>
      <c r="H213" s="838"/>
      <c r="I213" s="800"/>
      <c r="J213" s="838"/>
      <c r="K213" s="814"/>
      <c r="L213" s="808">
        <f t="shared" si="46"/>
        <v>115000</v>
      </c>
      <c r="M213" s="794">
        <f t="shared" si="47"/>
        <v>12000</v>
      </c>
    </row>
    <row r="214" spans="1:13" ht="15">
      <c r="A214" s="351" t="s">
        <v>2715</v>
      </c>
      <c r="B214" s="807">
        <v>220500</v>
      </c>
      <c r="C214" s="794">
        <v>34600</v>
      </c>
      <c r="D214" s="838">
        <v>100000</v>
      </c>
      <c r="E214" s="2483">
        <v>7650</v>
      </c>
      <c r="F214" s="795">
        <v>100000</v>
      </c>
      <c r="G214" s="784">
        <v>9600</v>
      </c>
      <c r="H214" s="807">
        <v>25000</v>
      </c>
      <c r="I214" s="784"/>
      <c r="J214" s="838"/>
      <c r="K214" s="794"/>
      <c r="L214" s="808">
        <f t="shared" si="46"/>
        <v>445500</v>
      </c>
      <c r="M214" s="794">
        <f t="shared" si="47"/>
        <v>51850</v>
      </c>
    </row>
    <row r="215" spans="1:13" ht="15">
      <c r="A215" s="351" t="s">
        <v>2711</v>
      </c>
      <c r="B215" s="807"/>
      <c r="C215" s="794"/>
      <c r="D215" s="838"/>
      <c r="E215" s="2451">
        <f>E221</f>
        <v>0</v>
      </c>
      <c r="F215" s="795">
        <v>2000</v>
      </c>
      <c r="G215" s="784"/>
      <c r="H215" s="807"/>
      <c r="I215" s="784"/>
      <c r="J215" s="838"/>
      <c r="K215" s="794"/>
      <c r="L215" s="808">
        <f t="shared" ref="L215:L242" si="67">B215+D215+F215+H215+J215</f>
        <v>2000</v>
      </c>
      <c r="M215" s="794">
        <f t="shared" si="47"/>
        <v>0</v>
      </c>
    </row>
    <row r="216" spans="1:13" ht="15">
      <c r="A216" s="351" t="s">
        <v>2719</v>
      </c>
      <c r="B216" s="807">
        <v>68500</v>
      </c>
      <c r="C216" s="794">
        <v>2000</v>
      </c>
      <c r="D216" s="838">
        <v>20000</v>
      </c>
      <c r="E216" s="2483"/>
      <c r="F216" s="808">
        <v>8000</v>
      </c>
      <c r="G216" s="784"/>
      <c r="H216" s="807">
        <v>25000</v>
      </c>
      <c r="I216" s="784"/>
      <c r="J216" s="838"/>
      <c r="K216" s="794"/>
      <c r="L216" s="808">
        <f t="shared" si="67"/>
        <v>121500</v>
      </c>
      <c r="M216" s="794">
        <f t="shared" si="47"/>
        <v>2000</v>
      </c>
    </row>
    <row r="217" spans="1:13" ht="15.75" thickBot="1">
      <c r="A217" s="2425" t="s">
        <v>2720</v>
      </c>
      <c r="B217" s="2420"/>
      <c r="C217" s="2423"/>
      <c r="D217" s="2422"/>
      <c r="E217" s="2532"/>
      <c r="F217" s="2424"/>
      <c r="G217" s="2421"/>
      <c r="H217" s="2420"/>
      <c r="I217" s="2421"/>
      <c r="J217" s="2420"/>
      <c r="K217" s="2423"/>
      <c r="L217" s="2424">
        <f t="shared" si="67"/>
        <v>0</v>
      </c>
      <c r="M217" s="2423">
        <f t="shared" si="47"/>
        <v>0</v>
      </c>
    </row>
    <row r="218" spans="1:13" ht="16.5" thickBot="1">
      <c r="A218" s="2572">
        <v>1001</v>
      </c>
      <c r="B218" s="2573">
        <f>B219</f>
        <v>103000</v>
      </c>
      <c r="C218" s="2579">
        <f t="shared" ref="C218:K218" si="68">C219</f>
        <v>19538</v>
      </c>
      <c r="D218" s="2573">
        <f t="shared" si="68"/>
        <v>0</v>
      </c>
      <c r="E218" s="2579">
        <f t="shared" si="68"/>
        <v>0</v>
      </c>
      <c r="F218" s="2575">
        <f t="shared" si="68"/>
        <v>0</v>
      </c>
      <c r="G218" s="2575">
        <f t="shared" si="68"/>
        <v>0</v>
      </c>
      <c r="H218" s="2573">
        <f t="shared" si="68"/>
        <v>135000</v>
      </c>
      <c r="I218" s="2580">
        <f t="shared" si="68"/>
        <v>29442</v>
      </c>
      <c r="J218" s="2573">
        <f t="shared" si="68"/>
        <v>400000</v>
      </c>
      <c r="K218" s="2579">
        <f t="shared" si="68"/>
        <v>92526.16</v>
      </c>
      <c r="L218" s="2575">
        <f t="shared" si="67"/>
        <v>638000</v>
      </c>
      <c r="M218" s="2574">
        <f t="shared" si="47"/>
        <v>141506.16</v>
      </c>
    </row>
    <row r="219" spans="1:13" ht="15.75" thickBot="1">
      <c r="A219" s="2429" t="s">
        <v>3409</v>
      </c>
      <c r="B219" s="2430">
        <v>103000</v>
      </c>
      <c r="C219" s="2432">
        <v>19538</v>
      </c>
      <c r="D219" s="2430"/>
      <c r="E219" s="2432"/>
      <c r="F219" s="2433"/>
      <c r="G219" s="2431"/>
      <c r="H219" s="2430">
        <v>135000</v>
      </c>
      <c r="I219" s="2431">
        <v>29442</v>
      </c>
      <c r="J219" s="2430">
        <v>400000</v>
      </c>
      <c r="K219" s="2432">
        <v>92526.16</v>
      </c>
      <c r="L219" s="2433">
        <f t="shared" si="67"/>
        <v>638000</v>
      </c>
      <c r="M219" s="2432">
        <f t="shared" si="47"/>
        <v>141506.16</v>
      </c>
    </row>
    <row r="220" spans="1:13" ht="16.5" thickBot="1">
      <c r="A220" s="2572" t="s">
        <v>1606</v>
      </c>
      <c r="B220" s="2573">
        <f>SUM(B221:B222)</f>
        <v>0</v>
      </c>
      <c r="C220" s="2574">
        <f>C222+C221</f>
        <v>0</v>
      </c>
      <c r="D220" s="2573">
        <f>SUM(D221:D222)</f>
        <v>0</v>
      </c>
      <c r="E220" s="2574"/>
      <c r="F220" s="2575"/>
      <c r="G220" s="2578"/>
      <c r="H220" s="2573"/>
      <c r="I220" s="2578"/>
      <c r="J220" s="2573"/>
      <c r="K220" s="2574"/>
      <c r="L220" s="2575">
        <f t="shared" si="67"/>
        <v>0</v>
      </c>
      <c r="M220" s="2574">
        <f t="shared" si="47"/>
        <v>0</v>
      </c>
    </row>
    <row r="221" spans="1:13" ht="15">
      <c r="A221" s="2410">
        <v>226</v>
      </c>
      <c r="B221" s="2401"/>
      <c r="C221" s="2404"/>
      <c r="D221" s="2401"/>
      <c r="E221" s="2404"/>
      <c r="F221" s="2403"/>
      <c r="G221" s="2411"/>
      <c r="H221" s="2401"/>
      <c r="I221" s="2411"/>
      <c r="J221" s="2401"/>
      <c r="K221" s="2404"/>
      <c r="L221" s="2403">
        <f t="shared" si="67"/>
        <v>0</v>
      </c>
      <c r="M221" s="2404">
        <f t="shared" si="47"/>
        <v>0</v>
      </c>
    </row>
    <row r="222" spans="1:13" ht="15.75" thickBot="1">
      <c r="A222" s="2412" t="s">
        <v>3410</v>
      </c>
      <c r="B222" s="2413"/>
      <c r="C222" s="2415"/>
      <c r="D222" s="2413"/>
      <c r="E222" s="2415"/>
      <c r="F222" s="2416"/>
      <c r="G222" s="2414"/>
      <c r="H222" s="2413"/>
      <c r="I222" s="2414"/>
      <c r="J222" s="2413"/>
      <c r="K222" s="2415"/>
      <c r="L222" s="2416">
        <f t="shared" si="67"/>
        <v>0</v>
      </c>
      <c r="M222" s="2415">
        <f t="shared" si="47"/>
        <v>0</v>
      </c>
    </row>
    <row r="223" spans="1:13" ht="16.5" thickBot="1">
      <c r="A223" s="2572" t="s">
        <v>3411</v>
      </c>
      <c r="B223" s="2573">
        <f>SUM(B224:B228)</f>
        <v>0</v>
      </c>
      <c r="C223" s="2579">
        <f t="shared" ref="C223:K223" si="69">SUM(C224:C228)</f>
        <v>0</v>
      </c>
      <c r="D223" s="2573">
        <f>SUM(D224:D228)</f>
        <v>40000</v>
      </c>
      <c r="E223" s="2579">
        <f t="shared" si="69"/>
        <v>22200</v>
      </c>
      <c r="F223" s="2575">
        <f t="shared" si="69"/>
        <v>70000</v>
      </c>
      <c r="G223" s="2575">
        <f t="shared" si="69"/>
        <v>3200</v>
      </c>
      <c r="H223" s="2573">
        <f t="shared" si="69"/>
        <v>0</v>
      </c>
      <c r="I223" s="2580">
        <f t="shared" si="69"/>
        <v>0</v>
      </c>
      <c r="J223" s="2573">
        <f t="shared" si="69"/>
        <v>0</v>
      </c>
      <c r="K223" s="2579">
        <f t="shared" si="69"/>
        <v>0</v>
      </c>
      <c r="L223" s="2575">
        <f t="shared" si="67"/>
        <v>110000</v>
      </c>
      <c r="M223" s="2574">
        <f t="shared" si="47"/>
        <v>25400</v>
      </c>
    </row>
    <row r="224" spans="1:13" ht="15">
      <c r="A224" s="2436" t="s">
        <v>2707</v>
      </c>
      <c r="B224" s="2437"/>
      <c r="C224" s="2439"/>
      <c r="D224" s="2447">
        <v>25000</v>
      </c>
      <c r="E224" s="2439">
        <v>20000</v>
      </c>
      <c r="F224" s="2440">
        <v>5000</v>
      </c>
      <c r="G224" s="2438"/>
      <c r="H224" s="2437"/>
      <c r="I224" s="2438"/>
      <c r="J224" s="2437"/>
      <c r="K224" s="2439"/>
      <c r="L224" s="2440">
        <f t="shared" si="67"/>
        <v>30000</v>
      </c>
      <c r="M224" s="2439">
        <f t="shared" si="47"/>
        <v>20000</v>
      </c>
    </row>
    <row r="225" spans="1:13" ht="15">
      <c r="A225" s="351" t="s">
        <v>2710</v>
      </c>
      <c r="B225" s="807"/>
      <c r="C225" s="794"/>
      <c r="D225" s="807">
        <v>15000</v>
      </c>
      <c r="E225" s="794">
        <v>2200</v>
      </c>
      <c r="F225" s="795">
        <v>15000</v>
      </c>
      <c r="G225" s="784"/>
      <c r="H225" s="807"/>
      <c r="I225" s="784"/>
      <c r="J225" s="807"/>
      <c r="K225" s="794"/>
      <c r="L225" s="808">
        <f t="shared" si="67"/>
        <v>30000</v>
      </c>
      <c r="M225" s="794">
        <f t="shared" si="47"/>
        <v>2200</v>
      </c>
    </row>
    <row r="226" spans="1:13" ht="15">
      <c r="A226" s="351" t="s">
        <v>2715</v>
      </c>
      <c r="B226" s="807"/>
      <c r="C226" s="794"/>
      <c r="D226" s="807"/>
      <c r="E226" s="794"/>
      <c r="F226" s="795">
        <v>36000</v>
      </c>
      <c r="G226" s="784">
        <v>2700</v>
      </c>
      <c r="H226" s="807"/>
      <c r="I226" s="784"/>
      <c r="J226" s="807"/>
      <c r="K226" s="794"/>
      <c r="L226" s="808">
        <f t="shared" si="67"/>
        <v>36000</v>
      </c>
      <c r="M226" s="794">
        <f t="shared" ref="M226:M242" si="70">C226+E226+G226+I226+K226</f>
        <v>2700</v>
      </c>
    </row>
    <row r="227" spans="1:13" ht="15">
      <c r="A227" s="351" t="s">
        <v>2711</v>
      </c>
      <c r="B227" s="807"/>
      <c r="C227" s="794"/>
      <c r="D227" s="807"/>
      <c r="E227" s="794"/>
      <c r="F227" s="795">
        <v>10000</v>
      </c>
      <c r="G227" s="784"/>
      <c r="H227" s="807"/>
      <c r="I227" s="784"/>
      <c r="J227" s="807"/>
      <c r="K227" s="794"/>
      <c r="L227" s="808">
        <f t="shared" si="67"/>
        <v>10000</v>
      </c>
      <c r="M227" s="794">
        <f t="shared" si="70"/>
        <v>0</v>
      </c>
    </row>
    <row r="228" spans="1:13" ht="15.75" thickBot="1">
      <c r="A228" s="2425" t="s">
        <v>2714</v>
      </c>
      <c r="B228" s="2420"/>
      <c r="C228" s="2423"/>
      <c r="D228" s="2422">
        <v>0</v>
      </c>
      <c r="E228" s="2423"/>
      <c r="F228" s="2496">
        <v>4000</v>
      </c>
      <c r="G228" s="2421">
        <v>500</v>
      </c>
      <c r="H228" s="2420"/>
      <c r="I228" s="2421"/>
      <c r="J228" s="2420"/>
      <c r="K228" s="2423"/>
      <c r="L228" s="2424">
        <f t="shared" si="67"/>
        <v>4000</v>
      </c>
      <c r="M228" s="2423">
        <f t="shared" si="70"/>
        <v>500</v>
      </c>
    </row>
    <row r="229" spans="1:13" ht="16.5" thickBot="1">
      <c r="A229" s="2567">
        <v>1105</v>
      </c>
      <c r="B229" s="2573">
        <f>SUM(B232:B237)</f>
        <v>322500</v>
      </c>
      <c r="C229" s="2579">
        <f t="shared" ref="C229:K229" si="71">SUM(C232:C237)</f>
        <v>80448</v>
      </c>
      <c r="D229" s="2573">
        <f t="shared" si="71"/>
        <v>0</v>
      </c>
      <c r="E229" s="2579">
        <f t="shared" si="71"/>
        <v>0</v>
      </c>
      <c r="F229" s="2575">
        <f t="shared" si="71"/>
        <v>0</v>
      </c>
      <c r="G229" s="2575">
        <f t="shared" si="71"/>
        <v>0</v>
      </c>
      <c r="H229" s="2573">
        <f t="shared" si="71"/>
        <v>40000</v>
      </c>
      <c r="I229" s="2580">
        <f t="shared" si="71"/>
        <v>0</v>
      </c>
      <c r="J229" s="2573">
        <f t="shared" si="71"/>
        <v>0</v>
      </c>
      <c r="K229" s="2579">
        <f t="shared" si="71"/>
        <v>0</v>
      </c>
      <c r="L229" s="2575">
        <f t="shared" si="67"/>
        <v>362500</v>
      </c>
      <c r="M229" s="2574">
        <f t="shared" si="70"/>
        <v>80448</v>
      </c>
    </row>
    <row r="230" spans="1:13" ht="15.75">
      <c r="A230" s="2459" t="s">
        <v>3405</v>
      </c>
      <c r="B230" s="2583">
        <f>B232+B233+B234+B235+B237</f>
        <v>322500</v>
      </c>
      <c r="C230" s="2584"/>
      <c r="D230" s="2583">
        <f t="shared" ref="D230:K230" si="72">D232+D233+D234+D235+D237</f>
        <v>0</v>
      </c>
      <c r="E230" s="2585">
        <f t="shared" si="72"/>
        <v>0</v>
      </c>
      <c r="F230" s="2586">
        <f t="shared" si="72"/>
        <v>0</v>
      </c>
      <c r="G230" s="2586">
        <f t="shared" si="72"/>
        <v>0</v>
      </c>
      <c r="H230" s="2583">
        <f t="shared" si="72"/>
        <v>30000</v>
      </c>
      <c r="I230" s="2587">
        <f t="shared" si="72"/>
        <v>0</v>
      </c>
      <c r="J230" s="2583">
        <f t="shared" si="72"/>
        <v>0</v>
      </c>
      <c r="K230" s="2585">
        <f t="shared" si="72"/>
        <v>0</v>
      </c>
      <c r="L230" s="2586">
        <f t="shared" si="67"/>
        <v>352500</v>
      </c>
      <c r="M230" s="2584">
        <f t="shared" si="70"/>
        <v>0</v>
      </c>
    </row>
    <row r="231" spans="1:13" ht="15">
      <c r="A231" s="2400" t="s">
        <v>1661</v>
      </c>
      <c r="B231" s="2313">
        <f>B236</f>
        <v>0</v>
      </c>
      <c r="C231" s="2488">
        <f t="shared" ref="C231:K231" si="73">C236</f>
        <v>0</v>
      </c>
      <c r="D231" s="2313">
        <f t="shared" si="73"/>
        <v>0</v>
      </c>
      <c r="E231" s="2488">
        <f t="shared" si="73"/>
        <v>0</v>
      </c>
      <c r="F231" s="2314">
        <f t="shared" si="73"/>
        <v>0</v>
      </c>
      <c r="G231" s="2314">
        <f t="shared" si="73"/>
        <v>0</v>
      </c>
      <c r="H231" s="2313">
        <f t="shared" si="73"/>
        <v>10000</v>
      </c>
      <c r="I231" s="2537">
        <f t="shared" si="73"/>
        <v>0</v>
      </c>
      <c r="J231" s="2313">
        <f t="shared" si="73"/>
        <v>0</v>
      </c>
      <c r="K231" s="2488">
        <f t="shared" si="73"/>
        <v>0</v>
      </c>
      <c r="L231" s="2314">
        <f t="shared" si="67"/>
        <v>10000</v>
      </c>
      <c r="M231" s="2315">
        <f t="shared" si="70"/>
        <v>0</v>
      </c>
    </row>
    <row r="232" spans="1:13" ht="15">
      <c r="A232" s="351" t="s">
        <v>2707</v>
      </c>
      <c r="B232" s="807">
        <v>25000</v>
      </c>
      <c r="C232" s="2451">
        <v>15000</v>
      </c>
      <c r="D232" s="807"/>
      <c r="E232" s="2483"/>
      <c r="F232" s="808"/>
      <c r="G232" s="784"/>
      <c r="H232" s="807"/>
      <c r="I232" s="784"/>
      <c r="J232" s="807"/>
      <c r="K232" s="794"/>
      <c r="L232" s="808">
        <f t="shared" si="67"/>
        <v>25000</v>
      </c>
      <c r="M232" s="794">
        <f t="shared" si="70"/>
        <v>15000</v>
      </c>
    </row>
    <row r="233" spans="1:13" ht="15">
      <c r="A233" s="351" t="s">
        <v>2710</v>
      </c>
      <c r="B233" s="807">
        <v>217500</v>
      </c>
      <c r="C233" s="794">
        <v>60248</v>
      </c>
      <c r="D233" s="807"/>
      <c r="E233" s="794"/>
      <c r="F233" s="808"/>
      <c r="G233" s="784"/>
      <c r="H233" s="807"/>
      <c r="I233" s="784"/>
      <c r="J233" s="838"/>
      <c r="K233" s="794"/>
      <c r="L233" s="808">
        <f t="shared" si="67"/>
        <v>217500</v>
      </c>
      <c r="M233" s="794">
        <f t="shared" si="70"/>
        <v>60248</v>
      </c>
    </row>
    <row r="234" spans="1:13" ht="15">
      <c r="A234" s="351" t="s">
        <v>2715</v>
      </c>
      <c r="B234" s="807">
        <v>10000</v>
      </c>
      <c r="C234" s="794">
        <v>5200</v>
      </c>
      <c r="D234" s="807"/>
      <c r="E234" s="794"/>
      <c r="F234" s="808"/>
      <c r="G234" s="784"/>
      <c r="H234" s="807">
        <v>30000</v>
      </c>
      <c r="I234" s="784"/>
      <c r="J234" s="838"/>
      <c r="K234" s="794"/>
      <c r="L234" s="808">
        <f t="shared" si="67"/>
        <v>40000</v>
      </c>
      <c r="M234" s="794">
        <f t="shared" si="70"/>
        <v>5200</v>
      </c>
    </row>
    <row r="235" spans="1:13" ht="15">
      <c r="A235" s="351" t="s">
        <v>2711</v>
      </c>
      <c r="B235" s="838">
        <v>18000</v>
      </c>
      <c r="C235" s="794"/>
      <c r="D235" s="807"/>
      <c r="E235" s="794"/>
      <c r="F235" s="808"/>
      <c r="G235" s="784"/>
      <c r="H235" s="807"/>
      <c r="I235" s="784"/>
      <c r="J235" s="838"/>
      <c r="K235" s="794"/>
      <c r="L235" s="808">
        <f t="shared" si="67"/>
        <v>18000</v>
      </c>
      <c r="M235" s="794">
        <f t="shared" si="70"/>
        <v>0</v>
      </c>
    </row>
    <row r="236" spans="1:13" ht="15">
      <c r="A236" s="351" t="s">
        <v>2721</v>
      </c>
      <c r="B236" s="838"/>
      <c r="C236" s="794"/>
      <c r="D236" s="807"/>
      <c r="E236" s="794"/>
      <c r="F236" s="808"/>
      <c r="G236" s="784"/>
      <c r="H236" s="838">
        <v>10000</v>
      </c>
      <c r="I236" s="784"/>
      <c r="J236" s="838"/>
      <c r="K236" s="794"/>
      <c r="L236" s="808">
        <f t="shared" si="67"/>
        <v>10000</v>
      </c>
      <c r="M236" s="794">
        <f t="shared" si="70"/>
        <v>0</v>
      </c>
    </row>
    <row r="237" spans="1:13" ht="15">
      <c r="A237" s="351" t="s">
        <v>2714</v>
      </c>
      <c r="B237" s="807">
        <v>52000</v>
      </c>
      <c r="C237" s="794"/>
      <c r="D237" s="807"/>
      <c r="E237" s="794">
        <v>0</v>
      </c>
      <c r="F237" s="808"/>
      <c r="G237" s="784"/>
      <c r="H237" s="807"/>
      <c r="I237" s="784"/>
      <c r="J237" s="807"/>
      <c r="K237" s="794"/>
      <c r="L237" s="808">
        <f t="shared" si="67"/>
        <v>52000</v>
      </c>
      <c r="M237" s="794">
        <f t="shared" si="70"/>
        <v>0</v>
      </c>
    </row>
    <row r="238" spans="1:13" ht="15">
      <c r="A238" s="831">
        <v>1301</v>
      </c>
      <c r="B238" s="840">
        <f t="shared" ref="B238:G238" si="74">B239</f>
        <v>0</v>
      </c>
      <c r="C238" s="812">
        <f t="shared" si="74"/>
        <v>0</v>
      </c>
      <c r="D238" s="840">
        <f t="shared" si="74"/>
        <v>0</v>
      </c>
      <c r="E238" s="812">
        <f>E239</f>
        <v>0</v>
      </c>
      <c r="F238" s="2519">
        <f t="shared" si="74"/>
        <v>0</v>
      </c>
      <c r="G238" s="813">
        <f t="shared" si="74"/>
        <v>0</v>
      </c>
      <c r="H238" s="840">
        <f>H239</f>
        <v>0</v>
      </c>
      <c r="I238" s="813">
        <f>I239</f>
        <v>0</v>
      </c>
      <c r="J238" s="840">
        <f>J239</f>
        <v>0</v>
      </c>
      <c r="K238" s="812">
        <f>K239</f>
        <v>0</v>
      </c>
      <c r="L238" s="816">
        <f t="shared" si="67"/>
        <v>0</v>
      </c>
      <c r="M238" s="811">
        <f t="shared" si="70"/>
        <v>0</v>
      </c>
    </row>
    <row r="239" spans="1:13" ht="15.75" thickBot="1">
      <c r="A239" s="2425">
        <v>231</v>
      </c>
      <c r="B239" s="2420"/>
      <c r="C239" s="2423"/>
      <c r="D239" s="2420"/>
      <c r="E239" s="2423"/>
      <c r="F239" s="2424"/>
      <c r="G239" s="2421"/>
      <c r="H239" s="2420"/>
      <c r="I239" s="2421"/>
      <c r="J239" s="2420"/>
      <c r="K239" s="2423"/>
      <c r="L239" s="2424">
        <f>B239+D239+F239+H239+J239</f>
        <v>0</v>
      </c>
      <c r="M239" s="2423">
        <f t="shared" si="70"/>
        <v>0</v>
      </c>
    </row>
    <row r="240" spans="1:13" ht="16.5" thickBot="1">
      <c r="A240" s="2572">
        <v>1403</v>
      </c>
      <c r="B240" s="2573">
        <f>B241</f>
        <v>73000</v>
      </c>
      <c r="C240" s="2574">
        <f t="shared" ref="C240:K240" si="75">C241</f>
        <v>0</v>
      </c>
      <c r="D240" s="2573">
        <f t="shared" si="75"/>
        <v>740707.78</v>
      </c>
      <c r="E240" s="2574">
        <f>E241</f>
        <v>232573.39</v>
      </c>
      <c r="F240" s="2575">
        <f t="shared" si="75"/>
        <v>1429292.22</v>
      </c>
      <c r="G240" s="2578">
        <f t="shared" si="75"/>
        <v>114610.74</v>
      </c>
      <c r="H240" s="2573">
        <f>H241</f>
        <v>784200</v>
      </c>
      <c r="I240" s="2578">
        <f t="shared" si="75"/>
        <v>230297.09</v>
      </c>
      <c r="J240" s="2573">
        <f t="shared" si="75"/>
        <v>1653800</v>
      </c>
      <c r="K240" s="2574">
        <f t="shared" si="75"/>
        <v>287556.88</v>
      </c>
      <c r="L240" s="2575">
        <f t="shared" si="67"/>
        <v>4681000</v>
      </c>
      <c r="M240" s="2574">
        <f t="shared" si="70"/>
        <v>865038.1</v>
      </c>
    </row>
    <row r="241" spans="1:13" ht="15">
      <c r="A241" s="2410" t="s">
        <v>2821</v>
      </c>
      <c r="B241" s="2401">
        <v>73000</v>
      </c>
      <c r="C241" s="2404"/>
      <c r="D241" s="2401">
        <f>930300-189592.22</f>
        <v>740707.78</v>
      </c>
      <c r="E241" s="2404">
        <v>232573.39</v>
      </c>
      <c r="F241" s="2403">
        <v>1429292.22</v>
      </c>
      <c r="G241" s="2411">
        <v>114610.74</v>
      </c>
      <c r="H241" s="2401">
        <v>784200</v>
      </c>
      <c r="I241" s="2411">
        <v>230297.09</v>
      </c>
      <c r="J241" s="2401">
        <v>1653800</v>
      </c>
      <c r="K241" s="2404">
        <v>287556.88</v>
      </c>
      <c r="L241" s="2403">
        <f t="shared" si="67"/>
        <v>4681000</v>
      </c>
      <c r="M241" s="2404">
        <f t="shared" si="70"/>
        <v>865038.1</v>
      </c>
    </row>
    <row r="242" spans="1:13" ht="15.75">
      <c r="A242" s="778" t="s">
        <v>845</v>
      </c>
      <c r="B242" s="842">
        <f>B46+B117+B129+B140+B153+B165+B168+B182+B195+B207+B209+B218+B220+B223+B229+B238+B240+B157</f>
        <v>25903050</v>
      </c>
      <c r="C242" s="843">
        <f>C46+C117+C129+C140+C153+C165+C168+C182+C195+C207+C209+C218+C220+C223+C229+C238+C240+C157</f>
        <v>5249462.45</v>
      </c>
      <c r="D242" s="842">
        <f>D46+D117+D129+D140+D153+D165+D168+D182+D195+D207+D209+D218+D220+D223+D229+D238+D240+D157</f>
        <v>11885200</v>
      </c>
      <c r="E242" s="2540">
        <f>E46+E117+E129+E140+E153+E165+E168+E182+E195+E207+E209+E218+E220+E223+E229+E238+E240+E157</f>
        <v>1870226.06</v>
      </c>
      <c r="F242" s="2520">
        <f>F46+F117+F129+F140+F153+F165+F168+F182+F195+F207+F209+F218+F220+F223+F229+F238+F240+F157</f>
        <v>10719500</v>
      </c>
      <c r="G242" s="879">
        <f>G46+G117+G129+G140+G153+G165+G168+G182+G195+G207+G209+G218+G220+G223+G229+G238+G240+G157+G235</f>
        <v>1188202.75</v>
      </c>
      <c r="H242" s="842">
        <f>H46+H117+H129+H140+H153+H165+H168+H182+H195+H207+H209+H218+H220+H223+H229+H238+H240+H157</f>
        <v>8305400</v>
      </c>
      <c r="I242" s="879">
        <f>I46+I117+I129+I140+I153+I165+I168+I182+I195+I207+I209+I218+I220+I223+I229+I238+I240+I157</f>
        <v>1608868.87</v>
      </c>
      <c r="J242" s="842">
        <f>J46+J117+J129+J140+J153+J165+J168+J182+J195+J207+J209+J218+J220+J223+J229+J238+J240+J157</f>
        <v>7564500</v>
      </c>
      <c r="K242" s="843">
        <f>K46+K117+K129+K140+K153+K165+K168+K182+K195+K207+K209+K218+K220+K223+K229+K238+K240</f>
        <v>1170481.0899999999</v>
      </c>
      <c r="L242" s="2541">
        <f t="shared" si="67"/>
        <v>64377650</v>
      </c>
      <c r="M242" s="2542">
        <f t="shared" si="70"/>
        <v>11087241.219999999</v>
      </c>
    </row>
    <row r="243" spans="1:13" ht="16.5" thickBot="1">
      <c r="A243" s="844"/>
      <c r="B243" s="2475" t="s">
        <v>1452</v>
      </c>
      <c r="C243" s="2477" t="s">
        <v>1453</v>
      </c>
      <c r="D243" s="2475" t="s">
        <v>1452</v>
      </c>
      <c r="E243" s="2477" t="s">
        <v>1453</v>
      </c>
      <c r="F243" s="2543" t="s">
        <v>1452</v>
      </c>
      <c r="G243" s="2476" t="s">
        <v>1453</v>
      </c>
      <c r="H243" s="2475" t="s">
        <v>1452</v>
      </c>
      <c r="I243" s="2476" t="s">
        <v>1453</v>
      </c>
      <c r="J243" s="2475" t="s">
        <v>1452</v>
      </c>
      <c r="K243" s="2477" t="s">
        <v>1453</v>
      </c>
      <c r="L243" s="2544" t="s">
        <v>1452</v>
      </c>
      <c r="M243" s="2545" t="s">
        <v>1453</v>
      </c>
    </row>
    <row r="244" spans="1:13" ht="26.25" thickBot="1">
      <c r="A244" s="2550" t="s">
        <v>1454</v>
      </c>
      <c r="B244" s="2551">
        <f>B240</f>
        <v>73000</v>
      </c>
      <c r="C244" s="2552">
        <f>C240</f>
        <v>0</v>
      </c>
      <c r="D244" s="2551">
        <f>D240</f>
        <v>740707.78</v>
      </c>
      <c r="E244" s="2552">
        <f>E241</f>
        <v>232573.39</v>
      </c>
      <c r="F244" s="2553">
        <f t="shared" ref="F244:K244" si="76">F240</f>
        <v>1429292.22</v>
      </c>
      <c r="G244" s="2554">
        <f t="shared" si="76"/>
        <v>114610.74</v>
      </c>
      <c r="H244" s="2551">
        <f t="shared" si="76"/>
        <v>784200</v>
      </c>
      <c r="I244" s="2554">
        <f t="shared" si="76"/>
        <v>230297.09</v>
      </c>
      <c r="J244" s="2551">
        <f t="shared" si="76"/>
        <v>1653800</v>
      </c>
      <c r="K244" s="2552">
        <f t="shared" si="76"/>
        <v>287556.88</v>
      </c>
      <c r="L244" s="2555">
        <f t="shared" ref="L244:L254" si="77">B244+D244+F244+H244+J244</f>
        <v>4681000</v>
      </c>
      <c r="M244" s="852">
        <f t="shared" ref="M244:M253" si="78">C244+E244+G244+I244+K244</f>
        <v>865038.1</v>
      </c>
    </row>
    <row r="245" spans="1:13" ht="15.75">
      <c r="A245" s="779" t="s">
        <v>1658</v>
      </c>
      <c r="B245" s="2546">
        <f t="shared" ref="B245:K245" si="79">B43-B242</f>
        <v>-70750</v>
      </c>
      <c r="C245" s="2547">
        <f t="shared" si="79"/>
        <v>145291.76999999955</v>
      </c>
      <c r="D245" s="2546">
        <f t="shared" si="79"/>
        <v>-418200</v>
      </c>
      <c r="E245" s="2547">
        <f t="shared" si="79"/>
        <v>474634.18999999994</v>
      </c>
      <c r="F245" s="2548">
        <f t="shared" si="79"/>
        <v>0</v>
      </c>
      <c r="G245" s="2549">
        <f t="shared" si="79"/>
        <v>1003759.21</v>
      </c>
      <c r="H245" s="2546">
        <f t="shared" si="79"/>
        <v>0</v>
      </c>
      <c r="I245" s="2549">
        <f t="shared" si="79"/>
        <v>263149.41999999993</v>
      </c>
      <c r="J245" s="2546">
        <f t="shared" si="79"/>
        <v>0</v>
      </c>
      <c r="K245" s="2547">
        <f t="shared" si="79"/>
        <v>720840.90000000014</v>
      </c>
      <c r="L245" s="898">
        <f t="shared" si="77"/>
        <v>-488950</v>
      </c>
      <c r="M245" s="818">
        <f t="shared" si="78"/>
        <v>2607675.4899999993</v>
      </c>
    </row>
    <row r="246" spans="1:13" ht="15.75">
      <c r="A246" s="779" t="s">
        <v>3412</v>
      </c>
      <c r="B246" s="821">
        <f>B45-B244</f>
        <v>1947000</v>
      </c>
      <c r="C246" s="2525">
        <f t="shared" ref="C246:M246" si="80">C45-C244</f>
        <v>20000</v>
      </c>
      <c r="D246" s="821">
        <f t="shared" si="80"/>
        <v>989292.22</v>
      </c>
      <c r="E246" s="2533">
        <f t="shared" si="80"/>
        <v>-212573.39</v>
      </c>
      <c r="F246" s="2485">
        <f t="shared" si="80"/>
        <v>243907.78000000003</v>
      </c>
      <c r="G246" s="821">
        <f t="shared" si="80"/>
        <v>-94610.74</v>
      </c>
      <c r="H246" s="821">
        <f t="shared" si="80"/>
        <v>216800</v>
      </c>
      <c r="I246" s="2538">
        <f t="shared" si="80"/>
        <v>-210297.09</v>
      </c>
      <c r="J246" s="821">
        <f t="shared" si="80"/>
        <v>-1653800</v>
      </c>
      <c r="K246" s="2525">
        <f t="shared" si="80"/>
        <v>-287556.88</v>
      </c>
      <c r="L246" s="2485">
        <f t="shared" si="80"/>
        <v>1743200</v>
      </c>
      <c r="M246" s="821">
        <f t="shared" si="80"/>
        <v>-785038.1</v>
      </c>
    </row>
    <row r="247" spans="1:13" ht="15">
      <c r="A247" s="780" t="s">
        <v>999</v>
      </c>
      <c r="B247" s="807"/>
      <c r="C247" s="794"/>
      <c r="D247" s="807"/>
      <c r="E247" s="794"/>
      <c r="F247" s="808"/>
      <c r="G247" s="784"/>
      <c r="H247" s="807"/>
      <c r="I247" s="784"/>
      <c r="J247" s="807"/>
      <c r="K247" s="794"/>
      <c r="L247" s="808">
        <f t="shared" si="77"/>
        <v>0</v>
      </c>
      <c r="M247" s="794">
        <f t="shared" si="78"/>
        <v>0</v>
      </c>
    </row>
    <row r="248" spans="1:13" ht="15">
      <c r="A248" s="780" t="s">
        <v>1002</v>
      </c>
      <c r="B248" s="807"/>
      <c r="C248" s="794"/>
      <c r="D248" s="807"/>
      <c r="E248" s="794"/>
      <c r="F248" s="808"/>
      <c r="G248" s="784"/>
      <c r="H248" s="807"/>
      <c r="I248" s="784"/>
      <c r="J248" s="807"/>
      <c r="K248" s="794"/>
      <c r="L248" s="808">
        <f t="shared" si="77"/>
        <v>0</v>
      </c>
      <c r="M248" s="794">
        <f t="shared" si="78"/>
        <v>0</v>
      </c>
    </row>
    <row r="249" spans="1:13" ht="15">
      <c r="A249" s="780" t="s">
        <v>1003</v>
      </c>
      <c r="B249" s="807"/>
      <c r="C249" s="794"/>
      <c r="D249" s="807"/>
      <c r="E249" s="794"/>
      <c r="F249" s="808"/>
      <c r="G249" s="784"/>
      <c r="H249" s="807"/>
      <c r="I249" s="784"/>
      <c r="J249" s="807"/>
      <c r="K249" s="794"/>
      <c r="L249" s="808">
        <f t="shared" si="77"/>
        <v>0</v>
      </c>
      <c r="M249" s="794">
        <f t="shared" si="78"/>
        <v>0</v>
      </c>
    </row>
    <row r="250" spans="1:13" ht="15">
      <c r="A250" s="777"/>
      <c r="B250" s="807"/>
      <c r="C250" s="794"/>
      <c r="D250" s="807"/>
      <c r="E250" s="794"/>
      <c r="F250" s="808"/>
      <c r="G250" s="784"/>
      <c r="H250" s="807"/>
      <c r="I250" s="784"/>
      <c r="J250" s="807"/>
      <c r="K250" s="794"/>
      <c r="L250" s="808">
        <f t="shared" si="77"/>
        <v>0</v>
      </c>
      <c r="M250" s="794">
        <f t="shared" si="78"/>
        <v>0</v>
      </c>
    </row>
    <row r="251" spans="1:13" ht="15">
      <c r="A251" s="914" t="s">
        <v>1004</v>
      </c>
      <c r="B251" s="915">
        <f>B252+B253</f>
        <v>70750</v>
      </c>
      <c r="C251" s="917">
        <f>C252+C253</f>
        <v>-145291.76999999955</v>
      </c>
      <c r="D251" s="915">
        <f t="shared" ref="D251:K251" si="81">D252+D253</f>
        <v>418200</v>
      </c>
      <c r="E251" s="917">
        <f>E252+E253</f>
        <v>-474634.18999999948</v>
      </c>
      <c r="F251" s="918">
        <f>F252+F253</f>
        <v>0</v>
      </c>
      <c r="G251" s="916">
        <f>G252+G253</f>
        <v>-1003759.2099999995</v>
      </c>
      <c r="H251" s="915">
        <f t="shared" si="81"/>
        <v>0</v>
      </c>
      <c r="I251" s="916">
        <f t="shared" si="81"/>
        <v>-263149.41999999993</v>
      </c>
      <c r="J251" s="915">
        <f t="shared" si="81"/>
        <v>0</v>
      </c>
      <c r="K251" s="917">
        <f t="shared" si="81"/>
        <v>-720840.90000000014</v>
      </c>
      <c r="L251" s="918">
        <f t="shared" si="77"/>
        <v>488950</v>
      </c>
      <c r="M251" s="917">
        <f t="shared" si="78"/>
        <v>-2607675.4899999984</v>
      </c>
    </row>
    <row r="252" spans="1:13" ht="15">
      <c r="A252" s="780" t="s">
        <v>1006</v>
      </c>
      <c r="B252" s="807">
        <f>-(B43+B247+B250)</f>
        <v>-25832300</v>
      </c>
      <c r="C252" s="2526">
        <f>-(C43+C247+C250)+(-30000)+(-89248.88)</f>
        <v>-5514003.0999999996</v>
      </c>
      <c r="D252" s="807">
        <f>-(D43+D247+D248)</f>
        <v>-11467000</v>
      </c>
      <c r="E252" s="794">
        <f>-(E43+E247+E250)+(-20993.8)+(-8296.3)</f>
        <v>-2374150.3499999996</v>
      </c>
      <c r="F252" s="808">
        <f>-(F43+F247+F248)</f>
        <v>-10719500</v>
      </c>
      <c r="G252" s="794">
        <f>-(G43+G247+G250)+(-10516.78)+(-9727.3)+(-2225)</f>
        <v>-2214431.0399999996</v>
      </c>
      <c r="H252" s="807">
        <f>-(H43+H247+H248)</f>
        <v>-8305400</v>
      </c>
      <c r="I252" s="784">
        <f>-(I43+I247+I250)+(-72)</f>
        <v>-1872090.29</v>
      </c>
      <c r="J252" s="807">
        <f>-(J43+J247+J248)</f>
        <v>-7564500</v>
      </c>
      <c r="K252" s="794">
        <f>-(K43+K247+K250)+(-114404.24)</f>
        <v>-2005726.23</v>
      </c>
      <c r="L252" s="808">
        <f t="shared" si="77"/>
        <v>-63888700</v>
      </c>
      <c r="M252" s="794">
        <f t="shared" si="78"/>
        <v>-13980401.009999998</v>
      </c>
    </row>
    <row r="253" spans="1:13" ht="15">
      <c r="A253" s="780" t="s">
        <v>1008</v>
      </c>
      <c r="B253" s="807">
        <f>(B242-B249)</f>
        <v>25903050</v>
      </c>
      <c r="C253" s="794">
        <f>(C242-C249)+30000+89248.88</f>
        <v>5368711.3300000001</v>
      </c>
      <c r="D253" s="807">
        <f t="shared" ref="D253:J253" si="82">D242-D249</f>
        <v>11885200</v>
      </c>
      <c r="E253" s="794">
        <f>E242-E249+20993.8+8296.3</f>
        <v>1899516.1600000001</v>
      </c>
      <c r="F253" s="808">
        <f t="shared" si="82"/>
        <v>10719500</v>
      </c>
      <c r="G253" s="808">
        <f>(G242-G249)+10516.78+9727.3+2225</f>
        <v>1210671.83</v>
      </c>
      <c r="H253" s="807">
        <f t="shared" si="82"/>
        <v>8305400</v>
      </c>
      <c r="I253" s="784">
        <f>I242-I249+72</f>
        <v>1608940.87</v>
      </c>
      <c r="J253" s="807">
        <f t="shared" si="82"/>
        <v>7564500</v>
      </c>
      <c r="K253" s="794">
        <f>K242-K249+114404.24</f>
        <v>1284885.3299999998</v>
      </c>
      <c r="L253" s="808">
        <f t="shared" si="77"/>
        <v>64377650</v>
      </c>
      <c r="M253" s="794">
        <f t="shared" si="78"/>
        <v>11372725.520000001</v>
      </c>
    </row>
    <row r="254" spans="1:13" ht="15">
      <c r="A254" s="777"/>
      <c r="B254" s="807"/>
      <c r="C254" s="2527" t="s">
        <v>702</v>
      </c>
      <c r="D254" s="807"/>
      <c r="E254" s="794"/>
      <c r="F254" s="808">
        <v>1</v>
      </c>
      <c r="G254" s="823"/>
      <c r="H254" s="807"/>
      <c r="I254" s="784"/>
      <c r="J254" s="807"/>
      <c r="K254" s="794"/>
      <c r="L254" s="808">
        <f t="shared" si="77"/>
        <v>1</v>
      </c>
      <c r="M254" s="794"/>
    </row>
    <row r="255" spans="1:13" ht="15.75">
      <c r="A255" s="827" t="s">
        <v>1665</v>
      </c>
      <c r="B255" s="821">
        <f t="shared" ref="B255:K255" si="83">B247+B248+B249+B251</f>
        <v>70750</v>
      </c>
      <c r="C255" s="819">
        <f t="shared" si="83"/>
        <v>-145291.76999999955</v>
      </c>
      <c r="D255" s="876">
        <f t="shared" si="83"/>
        <v>418200</v>
      </c>
      <c r="E255" s="819">
        <f t="shared" si="83"/>
        <v>-474634.18999999948</v>
      </c>
      <c r="F255" s="2485">
        <f t="shared" si="83"/>
        <v>0</v>
      </c>
      <c r="G255" s="820">
        <f t="shared" si="83"/>
        <v>-1003759.2099999995</v>
      </c>
      <c r="H255" s="821">
        <f t="shared" si="83"/>
        <v>0</v>
      </c>
      <c r="I255" s="820">
        <f t="shared" si="83"/>
        <v>-263149.41999999993</v>
      </c>
      <c r="J255" s="821">
        <f t="shared" si="83"/>
        <v>0</v>
      </c>
      <c r="K255" s="819">
        <f t="shared" si="83"/>
        <v>-720840.90000000014</v>
      </c>
      <c r="L255" s="899">
        <f>B255+D255+F255+H255+J255</f>
        <v>488950</v>
      </c>
      <c r="M255" s="819">
        <f>M247+M248+M249+M251</f>
        <v>-2607675.4899999984</v>
      </c>
    </row>
    <row r="256" spans="1:13" ht="15.75">
      <c r="A256" s="853"/>
      <c r="B256" s="845" t="s">
        <v>1452</v>
      </c>
      <c r="C256" s="846" t="s">
        <v>1453</v>
      </c>
      <c r="D256" s="845" t="s">
        <v>1452</v>
      </c>
      <c r="E256" s="846" t="s">
        <v>1453</v>
      </c>
      <c r="F256" s="2521" t="s">
        <v>1452</v>
      </c>
      <c r="G256" s="854" t="s">
        <v>1453</v>
      </c>
      <c r="H256" s="845" t="s">
        <v>1452</v>
      </c>
      <c r="I256" s="854" t="s">
        <v>1453</v>
      </c>
      <c r="J256" s="845" t="s">
        <v>1452</v>
      </c>
      <c r="K256" s="846" t="s">
        <v>1453</v>
      </c>
      <c r="L256" s="900" t="s">
        <v>1452</v>
      </c>
      <c r="M256" s="855" t="s">
        <v>1453</v>
      </c>
    </row>
    <row r="257" spans="1:13" ht="15">
      <c r="A257" s="853"/>
      <c r="B257" s="2474">
        <f>B258+B259</f>
        <v>-1947000</v>
      </c>
      <c r="C257" s="2528">
        <f t="shared" ref="C257:K257" si="84">C258+C259</f>
        <v>-20000</v>
      </c>
      <c r="D257" s="2474">
        <f t="shared" si="84"/>
        <v>-989292.22</v>
      </c>
      <c r="E257" s="2528">
        <f t="shared" si="84"/>
        <v>212573.39</v>
      </c>
      <c r="F257" s="2522">
        <f t="shared" si="84"/>
        <v>-243907.78000000003</v>
      </c>
      <c r="G257" s="2474">
        <f t="shared" si="84"/>
        <v>94610.74</v>
      </c>
      <c r="H257" s="2474">
        <f t="shared" si="84"/>
        <v>-216800</v>
      </c>
      <c r="I257" s="2539">
        <f t="shared" si="84"/>
        <v>210297.09</v>
      </c>
      <c r="J257" s="2474">
        <f t="shared" si="84"/>
        <v>1653800</v>
      </c>
      <c r="K257" s="2528">
        <f t="shared" si="84"/>
        <v>287556.88</v>
      </c>
      <c r="L257" s="900"/>
      <c r="M257" s="855"/>
    </row>
    <row r="258" spans="1:13" ht="15">
      <c r="A258" s="856" t="s">
        <v>1006</v>
      </c>
      <c r="B258" s="857">
        <f t="shared" ref="B258:K258" si="85">-B45</f>
        <v>-2020000</v>
      </c>
      <c r="C258" s="858">
        <f>-C45</f>
        <v>-20000</v>
      </c>
      <c r="D258" s="857">
        <f t="shared" si="85"/>
        <v>-1730000</v>
      </c>
      <c r="E258" s="858">
        <f t="shared" si="85"/>
        <v>-20000</v>
      </c>
      <c r="F258" s="859">
        <f t="shared" si="85"/>
        <v>-1673200</v>
      </c>
      <c r="G258" s="881">
        <f t="shared" si="85"/>
        <v>-20000</v>
      </c>
      <c r="H258" s="857">
        <f t="shared" si="85"/>
        <v>-1001000</v>
      </c>
      <c r="I258" s="881">
        <f t="shared" si="85"/>
        <v>-20000</v>
      </c>
      <c r="J258" s="857">
        <f t="shared" si="85"/>
        <v>0</v>
      </c>
      <c r="K258" s="858">
        <f t="shared" si="85"/>
        <v>0</v>
      </c>
      <c r="L258" s="859">
        <f>B258+D258+F258+H258+J258</f>
        <v>-6424200</v>
      </c>
      <c r="M258" s="858">
        <f>C258+E258+G258+I258+K258</f>
        <v>-80000</v>
      </c>
    </row>
    <row r="259" spans="1:13" ht="15.75" thickBot="1">
      <c r="A259" s="856" t="s">
        <v>1008</v>
      </c>
      <c r="B259" s="2529">
        <f t="shared" ref="B259:K259" si="86">B244</f>
        <v>73000</v>
      </c>
      <c r="C259" s="2530">
        <f t="shared" si="86"/>
        <v>0</v>
      </c>
      <c r="D259" s="857">
        <f t="shared" si="86"/>
        <v>740707.78</v>
      </c>
      <c r="E259" s="858">
        <f t="shared" si="86"/>
        <v>232573.39</v>
      </c>
      <c r="F259" s="859">
        <f t="shared" si="86"/>
        <v>1429292.22</v>
      </c>
      <c r="G259" s="881">
        <f t="shared" si="86"/>
        <v>114610.74</v>
      </c>
      <c r="H259" s="857">
        <f t="shared" si="86"/>
        <v>784200</v>
      </c>
      <c r="I259" s="881">
        <f t="shared" si="86"/>
        <v>230297.09</v>
      </c>
      <c r="J259" s="857">
        <f t="shared" si="86"/>
        <v>1653800</v>
      </c>
      <c r="K259" s="858">
        <f t="shared" si="86"/>
        <v>287556.88</v>
      </c>
      <c r="L259" s="859">
        <f>B259+D259+F259+H259+J259</f>
        <v>4681000</v>
      </c>
      <c r="M259" s="858">
        <f>C259+E259+G259+I259+K259</f>
        <v>865038.1</v>
      </c>
    </row>
    <row r="260" spans="1:13" ht="15">
      <c r="A260" s="352"/>
      <c r="B260" s="2647" t="s">
        <v>1280</v>
      </c>
      <c r="C260" s="2648"/>
      <c r="D260" s="2645" t="s">
        <v>1281</v>
      </c>
      <c r="E260" s="2646"/>
      <c r="F260" s="2649" t="s">
        <v>1282</v>
      </c>
      <c r="G260" s="2650"/>
      <c r="H260" s="2645" t="s">
        <v>1283</v>
      </c>
      <c r="I260" s="2650"/>
      <c r="J260" s="2645" t="s">
        <v>1284</v>
      </c>
      <c r="K260" s="2646"/>
      <c r="L260" s="822" t="s">
        <v>36</v>
      </c>
      <c r="M260" s="785" t="s">
        <v>844</v>
      </c>
    </row>
    <row r="261" spans="1:13" ht="15">
      <c r="A261" s="352"/>
      <c r="B261" s="787" t="s">
        <v>1450</v>
      </c>
      <c r="C261" s="877" t="s">
        <v>1451</v>
      </c>
      <c r="D261" s="787" t="s">
        <v>1450</v>
      </c>
      <c r="E261" s="786" t="s">
        <v>1451</v>
      </c>
      <c r="F261" s="837" t="s">
        <v>1450</v>
      </c>
      <c r="G261" s="877" t="s">
        <v>1451</v>
      </c>
      <c r="H261" s="787" t="s">
        <v>1450</v>
      </c>
      <c r="I261" s="877" t="s">
        <v>1451</v>
      </c>
      <c r="J261" s="787" t="s">
        <v>1450</v>
      </c>
      <c r="K261" s="786" t="s">
        <v>1451</v>
      </c>
      <c r="L261" s="837" t="s">
        <v>1450</v>
      </c>
      <c r="M261" s="786" t="s">
        <v>1451</v>
      </c>
    </row>
    <row r="262" spans="1:13" ht="15">
      <c r="A262" s="919"/>
      <c r="B262" s="915"/>
      <c r="C262" s="916">
        <f>C264-C263</f>
        <v>-145291.77000000002</v>
      </c>
      <c r="D262" s="915"/>
      <c r="E262" s="2534">
        <f>E264-E263</f>
        <v>-474634.19000000006</v>
      </c>
      <c r="F262" s="918"/>
      <c r="G262" s="916">
        <f>G264-G263</f>
        <v>-1003759.21</v>
      </c>
      <c r="H262" s="915"/>
      <c r="I262" s="916">
        <f>I264-I263</f>
        <v>-263149.41999999993</v>
      </c>
      <c r="J262" s="915"/>
      <c r="K262" s="917">
        <f>K264-K263</f>
        <v>-720840.89999999991</v>
      </c>
      <c r="L262" s="918"/>
      <c r="M262" s="917">
        <f>C262+E262+G262+I262+K262</f>
        <v>-2607675.4899999998</v>
      </c>
    </row>
    <row r="263" spans="1:13" ht="25.5">
      <c r="A263" s="863" t="s">
        <v>1666</v>
      </c>
      <c r="B263" s="860"/>
      <c r="C263" s="864">
        <v>558829.02</v>
      </c>
      <c r="D263" s="860"/>
      <c r="E263" s="861">
        <v>895057.04</v>
      </c>
      <c r="F263" s="862"/>
      <c r="G263" s="864">
        <v>1065400.47</v>
      </c>
      <c r="H263" s="860"/>
      <c r="I263" s="864">
        <v>1876283.63</v>
      </c>
      <c r="J263" s="860" t="s">
        <v>2119</v>
      </c>
      <c r="K263" s="861">
        <v>834181.19</v>
      </c>
      <c r="L263" s="862"/>
      <c r="M263" s="861">
        <f>C263+E263+G263+I263+K263</f>
        <v>5229751.3499999996</v>
      </c>
    </row>
    <row r="264" spans="1:13" ht="15">
      <c r="A264" s="865" t="s">
        <v>1029</v>
      </c>
      <c r="B264" s="866"/>
      <c r="C264" s="869">
        <v>413537.25</v>
      </c>
      <c r="D264" s="866"/>
      <c r="E264" s="867">
        <v>420422.85</v>
      </c>
      <c r="F264" s="868"/>
      <c r="G264" s="869">
        <v>61641.26</v>
      </c>
      <c r="H264" s="866"/>
      <c r="I264" s="869">
        <v>1613134.21</v>
      </c>
      <c r="J264" s="866"/>
      <c r="K264" s="867">
        <v>113340.29</v>
      </c>
      <c r="L264" s="868"/>
      <c r="M264" s="861">
        <f>C264+E264+G264+I264+K264</f>
        <v>2622075.86</v>
      </c>
    </row>
    <row r="265" spans="1:13" ht="15.75" thickBot="1">
      <c r="A265" s="870" t="s">
        <v>782</v>
      </c>
      <c r="B265" s="871"/>
      <c r="C265" s="874"/>
      <c r="D265" s="871"/>
      <c r="E265" s="872"/>
      <c r="F265" s="873"/>
      <c r="G265" s="874"/>
      <c r="H265" s="871"/>
      <c r="I265" s="874"/>
      <c r="J265" s="871"/>
      <c r="K265" s="872"/>
      <c r="L265" s="873"/>
      <c r="M265" s="875">
        <f>C265+E265+G265+I265+K265</f>
        <v>0</v>
      </c>
    </row>
    <row r="266" spans="1:13">
      <c r="A266" s="26"/>
      <c r="B266" s="7"/>
      <c r="C266" s="7"/>
      <c r="D266" s="7"/>
      <c r="E266" s="7"/>
      <c r="F266" s="7"/>
      <c r="G266" s="7"/>
      <c r="H266" s="7"/>
      <c r="I266" s="7"/>
      <c r="J266" s="7"/>
      <c r="K266" s="7"/>
      <c r="L266" s="7"/>
      <c r="M266" s="364"/>
    </row>
    <row r="267" spans="1:13">
      <c r="A267" s="26"/>
      <c r="B267" s="7"/>
      <c r="C267" s="7"/>
      <c r="D267" s="7"/>
      <c r="E267" s="7"/>
      <c r="F267" s="7"/>
      <c r="G267" s="7"/>
      <c r="H267" s="7"/>
      <c r="I267" s="7"/>
      <c r="J267" s="7"/>
      <c r="K267" s="7"/>
      <c r="L267" s="7"/>
      <c r="M267" s="364"/>
    </row>
    <row r="273" spans="2:6" ht="17.25" customHeight="1">
      <c r="F273" s="7"/>
    </row>
    <row r="274" spans="2:6" ht="33.75" customHeight="1"/>
    <row r="286" spans="2:6">
      <c r="B286" s="10"/>
    </row>
  </sheetData>
  <mergeCells count="26">
    <mergeCell ref="L1:M1"/>
    <mergeCell ref="J1:K1"/>
    <mergeCell ref="J2:K2"/>
    <mergeCell ref="B68:C68"/>
    <mergeCell ref="D68:E68"/>
    <mergeCell ref="F68:G68"/>
    <mergeCell ref="H68:I68"/>
    <mergeCell ref="J68:K68"/>
    <mergeCell ref="B1:C1"/>
    <mergeCell ref="D1:E1"/>
    <mergeCell ref="B2:C2"/>
    <mergeCell ref="D2:E2"/>
    <mergeCell ref="H1:I1"/>
    <mergeCell ref="H2:I2"/>
    <mergeCell ref="F1:G1"/>
    <mergeCell ref="F2:G2"/>
    <mergeCell ref="J163:K163"/>
    <mergeCell ref="B260:C260"/>
    <mergeCell ref="D260:E260"/>
    <mergeCell ref="F260:G260"/>
    <mergeCell ref="H260:I260"/>
    <mergeCell ref="J260:K260"/>
    <mergeCell ref="B163:C163"/>
    <mergeCell ref="D163:E163"/>
    <mergeCell ref="F163:G163"/>
    <mergeCell ref="H163:I163"/>
  </mergeCells>
  <phoneticPr fontId="0" type="noConversion"/>
  <pageMargins left="0.47244094488188981" right="0.15748031496062992" top="0" bottom="0" header="0.51181102362204722" footer="0.19685039370078741"/>
  <pageSetup paperSize="9" scale="63" fitToHeight="0" orientation="landscape" r:id="rId1"/>
  <headerFooter alignWithMargins="0"/>
  <cellWatches>
    <cellWatch r="D272"/>
  </cellWatches>
</worksheet>
</file>

<file path=xl/worksheets/sheet20.xml><?xml version="1.0" encoding="utf-8"?>
<worksheet xmlns="http://schemas.openxmlformats.org/spreadsheetml/2006/main" xmlns:r="http://schemas.openxmlformats.org/officeDocument/2006/relationships">
  <dimension ref="A1:L157"/>
  <sheetViews>
    <sheetView workbookViewId="0">
      <selection activeCell="D154" sqref="D154"/>
    </sheetView>
  </sheetViews>
  <sheetFormatPr defaultRowHeight="11.25"/>
  <cols>
    <col min="2" max="2" width="36.83203125" customWidth="1"/>
    <col min="3" max="3" width="21.6640625" customWidth="1"/>
    <col min="4" max="4" width="21.33203125" customWidth="1"/>
    <col min="5" max="5" width="19.1640625" customWidth="1"/>
    <col min="6" max="6" width="17.1640625" customWidth="1"/>
    <col min="7" max="7" width="16" customWidth="1"/>
    <col min="8" max="8" width="18.1640625" customWidth="1"/>
    <col min="9" max="9" width="14.6640625" customWidth="1"/>
    <col min="10" max="10" width="13" customWidth="1"/>
    <col min="11" max="11" width="14.6640625" customWidth="1"/>
    <col min="12" max="12" width="12.5" customWidth="1"/>
  </cols>
  <sheetData>
    <row r="1" spans="1:12" ht="12" customHeight="1">
      <c r="A1" s="2760" t="s">
        <v>3014</v>
      </c>
      <c r="B1" s="2762" t="s">
        <v>2137</v>
      </c>
      <c r="C1" s="2764" t="s">
        <v>1280</v>
      </c>
      <c r="D1" s="2765"/>
      <c r="E1" s="2759" t="s">
        <v>1281</v>
      </c>
      <c r="F1" s="2759"/>
      <c r="G1" s="2759" t="s">
        <v>1282</v>
      </c>
      <c r="H1" s="2759"/>
      <c r="I1" s="2759" t="s">
        <v>3252</v>
      </c>
      <c r="J1" s="2759"/>
      <c r="K1" s="2759" t="s">
        <v>2983</v>
      </c>
      <c r="L1" s="2759"/>
    </row>
    <row r="2" spans="1:12" ht="12" customHeight="1">
      <c r="A2" s="2761"/>
      <c r="B2" s="2763"/>
      <c r="C2" s="2766"/>
      <c r="D2" s="2767"/>
      <c r="E2" s="2759"/>
      <c r="F2" s="2759"/>
      <c r="G2" s="2759"/>
      <c r="H2" s="2759"/>
      <c r="I2" s="2759"/>
      <c r="J2" s="2759"/>
      <c r="K2" s="2759"/>
      <c r="L2" s="2759"/>
    </row>
    <row r="3" spans="1:12" ht="12" customHeight="1">
      <c r="A3" s="2761"/>
      <c r="B3" s="2763"/>
      <c r="C3" s="2766"/>
      <c r="D3" s="2767"/>
      <c r="E3" s="2759"/>
      <c r="F3" s="2759"/>
      <c r="G3" s="2759"/>
      <c r="H3" s="2759"/>
      <c r="I3" s="2759"/>
      <c r="J3" s="2759"/>
      <c r="K3" s="2759"/>
      <c r="L3" s="2759"/>
    </row>
    <row r="4" spans="1:12" ht="12" customHeight="1">
      <c r="A4" s="2761"/>
      <c r="B4" s="2763"/>
      <c r="C4" s="2768"/>
      <c r="D4" s="2769"/>
      <c r="E4" s="2759"/>
      <c r="F4" s="2759"/>
      <c r="G4" s="2759"/>
      <c r="H4" s="2759"/>
      <c r="I4" s="2759"/>
      <c r="J4" s="2759"/>
      <c r="K4" s="2759"/>
      <c r="L4" s="2759"/>
    </row>
    <row r="5" spans="1:12" ht="12">
      <c r="A5" s="1957" t="s">
        <v>3015</v>
      </c>
      <c r="B5" s="1958">
        <v>2</v>
      </c>
      <c r="C5" s="1998">
        <v>7</v>
      </c>
      <c r="D5" s="1998">
        <v>35</v>
      </c>
      <c r="E5" s="1959">
        <v>7</v>
      </c>
      <c r="F5" s="1959">
        <v>35</v>
      </c>
      <c r="G5" s="1959">
        <v>7</v>
      </c>
      <c r="H5" s="1959">
        <v>35</v>
      </c>
      <c r="I5" s="1959">
        <v>7</v>
      </c>
      <c r="J5" s="1959">
        <v>35</v>
      </c>
      <c r="K5" s="1959">
        <v>7</v>
      </c>
      <c r="L5" s="1959">
        <v>35</v>
      </c>
    </row>
    <row r="6" spans="1:12" ht="12">
      <c r="A6" s="1924" t="s">
        <v>3016</v>
      </c>
      <c r="B6" s="1931" t="s">
        <v>3017</v>
      </c>
      <c r="C6" s="1967">
        <f>C7+C25</f>
        <v>25832.300000000003</v>
      </c>
      <c r="D6" s="1967">
        <f>D7+D25</f>
        <v>5394.7542199999998</v>
      </c>
      <c r="E6" s="1967">
        <f>E7+E25</f>
        <v>11467</v>
      </c>
      <c r="F6" s="1967">
        <f t="shared" ref="F6:L6" si="0">F7+F25</f>
        <v>2344.8602499999997</v>
      </c>
      <c r="G6" s="1967">
        <f t="shared" si="0"/>
        <v>10719.5</v>
      </c>
      <c r="H6" s="1967">
        <f t="shared" si="0"/>
        <v>2191.9619600000001</v>
      </c>
      <c r="I6" s="1967">
        <f t="shared" si="0"/>
        <v>8305.4</v>
      </c>
      <c r="J6" s="1967">
        <f t="shared" si="0"/>
        <v>1872.01829</v>
      </c>
      <c r="K6" s="1967">
        <f t="shared" si="0"/>
        <v>7564.5</v>
      </c>
      <c r="L6" s="1967">
        <f t="shared" si="0"/>
        <v>1891.3219899999999</v>
      </c>
    </row>
    <row r="7" spans="1:12" ht="24">
      <c r="A7" s="1925" t="s">
        <v>3018</v>
      </c>
      <c r="B7" s="1932" t="s">
        <v>3019</v>
      </c>
      <c r="C7" s="1968">
        <f>C8+C16</f>
        <v>9716.6</v>
      </c>
      <c r="D7" s="1968">
        <f>D8+D16</f>
        <v>2038.9711599999998</v>
      </c>
      <c r="E7" s="1968">
        <f>E8+E16</f>
        <v>881.5</v>
      </c>
      <c r="F7" s="1968">
        <f t="shared" ref="F7:L7" si="1">F8+F16</f>
        <v>149.21797000000001</v>
      </c>
      <c r="G7" s="1968">
        <f t="shared" si="1"/>
        <v>583.6</v>
      </c>
      <c r="H7" s="1968">
        <f t="shared" si="1"/>
        <v>87.53055999999998</v>
      </c>
      <c r="I7" s="1968">
        <f t="shared" si="1"/>
        <v>453.2</v>
      </c>
      <c r="J7" s="1968">
        <f t="shared" si="1"/>
        <v>141.92955999999998</v>
      </c>
      <c r="K7" s="1968">
        <f t="shared" si="1"/>
        <v>189</v>
      </c>
      <c r="L7" s="1968">
        <f t="shared" si="1"/>
        <v>46.321990000000007</v>
      </c>
    </row>
    <row r="8" spans="1:12" ht="12">
      <c r="A8" s="1938" t="s">
        <v>3020</v>
      </c>
      <c r="B8" s="1939" t="s">
        <v>3021</v>
      </c>
      <c r="C8" s="1969">
        <f>SUM(C9:C15)</f>
        <v>9039.6</v>
      </c>
      <c r="D8" s="1969">
        <f>SUM(D9:D15)</f>
        <v>1980.7915699999999</v>
      </c>
      <c r="E8" s="1969">
        <f>SUM(E9:E15)</f>
        <v>808.5</v>
      </c>
      <c r="F8" s="1969">
        <f t="shared" ref="F8:L8" si="2">SUM(F9:F15)</f>
        <v>141.19905</v>
      </c>
      <c r="G8" s="1969">
        <f t="shared" si="2"/>
        <v>422.6</v>
      </c>
      <c r="H8" s="1969">
        <f t="shared" si="2"/>
        <v>71.668559999999985</v>
      </c>
      <c r="I8" s="1969">
        <f t="shared" si="2"/>
        <v>353</v>
      </c>
      <c r="J8" s="1969">
        <f t="shared" si="2"/>
        <v>61.109560000000002</v>
      </c>
      <c r="K8" s="1969">
        <f t="shared" si="2"/>
        <v>179</v>
      </c>
      <c r="L8" s="1969">
        <f t="shared" si="2"/>
        <v>41.121990000000004</v>
      </c>
    </row>
    <row r="9" spans="1:12" ht="12">
      <c r="A9" s="1927" t="s">
        <v>3022</v>
      </c>
      <c r="B9" s="1933" t="s">
        <v>3023</v>
      </c>
      <c r="C9" s="1970">
        <f>(mo!B5+mo!B6+mo!B8+mo!B9)/1000</f>
        <v>7009</v>
      </c>
      <c r="D9" s="1970">
        <f>(mo!C5+mo!C6+mo!C8+mo!C9)/1000</f>
        <v>1462.0849299999998</v>
      </c>
      <c r="E9" s="1970">
        <f>(mo!D5+mo!D6+mo!D8)/1000</f>
        <v>456</v>
      </c>
      <c r="F9" s="1970">
        <f>(mo!E5+mo!E6+mo!E8)/1000</f>
        <v>70.299050000000008</v>
      </c>
      <c r="G9" s="1970">
        <f>(mo!F5+mo!F6+mo!F8)/1000</f>
        <v>306</v>
      </c>
      <c r="H9" s="1970">
        <f>(mo!G5+mo!G6+mo!G8)/1000</f>
        <v>56.569309999999994</v>
      </c>
      <c r="I9" s="1970">
        <f>(mo!H5+mo!H6+mo!H8)/1000</f>
        <v>235</v>
      </c>
      <c r="J9" s="1970">
        <f>(mo!I5+mo!I6+mo!I8)/1000</f>
        <v>33.261000000000003</v>
      </c>
      <c r="K9" s="1970">
        <f>(mo!J5+mo!J6+mo!J7+mo!J8)/1000</f>
        <v>120</v>
      </c>
      <c r="L9" s="1970">
        <f>(mo!K5+mo!K6+mo!K8)/1000</f>
        <v>26.867540000000002</v>
      </c>
    </row>
    <row r="10" spans="1:12" ht="36">
      <c r="A10" s="1927" t="s">
        <v>3024</v>
      </c>
      <c r="B10" s="1933" t="s">
        <v>3025</v>
      </c>
      <c r="C10" s="1986"/>
      <c r="D10" s="1986"/>
      <c r="E10" s="1970"/>
      <c r="F10" s="1970"/>
      <c r="G10" s="1970"/>
      <c r="H10" s="1970"/>
      <c r="I10" s="1970"/>
      <c r="J10" s="1970"/>
      <c r="K10" s="1970"/>
      <c r="L10" s="1970"/>
    </row>
    <row r="11" spans="1:12" ht="12">
      <c r="A11" s="1927" t="s">
        <v>3026</v>
      </c>
      <c r="B11" s="1933" t="s">
        <v>3027</v>
      </c>
      <c r="C11" s="1986"/>
      <c r="D11" s="1986"/>
      <c r="E11" s="1970"/>
      <c r="F11" s="1970"/>
      <c r="G11" s="1970"/>
      <c r="H11" s="1970"/>
      <c r="I11" s="1970"/>
      <c r="J11" s="1970"/>
      <c r="K11" s="1970"/>
      <c r="L11" s="1970"/>
    </row>
    <row r="12" spans="1:12" ht="12">
      <c r="A12" s="1927" t="s">
        <v>3028</v>
      </c>
      <c r="B12" s="1933" t="s">
        <v>3029</v>
      </c>
      <c r="C12" s="1970">
        <f>(mo!B14+mo!B15+mo!B16)/1000</f>
        <v>1300</v>
      </c>
      <c r="D12" s="1970">
        <f>(mo!C14+mo!C15+mo!C16)/1000</f>
        <v>268.06957999999997</v>
      </c>
      <c r="E12" s="1970">
        <f>(mo!D14+mo!D15+mo!D16)/1000</f>
        <v>0</v>
      </c>
      <c r="F12" s="1970">
        <f>(mo!E14+mo!E15+mo!E16)/1000</f>
        <v>1.2786</v>
      </c>
      <c r="G12" s="1970">
        <f>(mo!F14+mo!F15+mo!F16)/1000</f>
        <v>30</v>
      </c>
      <c r="H12" s="1970">
        <f>(mo!G14+mo!G15+mo!G16)/1000</f>
        <v>1.175</v>
      </c>
      <c r="I12" s="1970">
        <f>(mo!H14+mo!H15+mo!H16)/1000</f>
        <v>0</v>
      </c>
      <c r="J12" s="1970">
        <f>(mo!I14+mo!I15+mo!I16)/1000</f>
        <v>0</v>
      </c>
      <c r="K12" s="1970">
        <f>(mo!J14+mo!J15+mo!J16)/1000</f>
        <v>0</v>
      </c>
      <c r="L12" s="1970">
        <f>(mo!K14+mo!K15+mo!K16)/1000</f>
        <v>0.33019999999999999</v>
      </c>
    </row>
    <row r="13" spans="1:12" ht="12">
      <c r="A13" s="1927" t="s">
        <v>3030</v>
      </c>
      <c r="B13" s="1933" t="s">
        <v>3031</v>
      </c>
      <c r="C13" s="1986"/>
      <c r="D13" s="1986"/>
      <c r="E13" s="1970"/>
      <c r="F13" s="1970"/>
      <c r="G13" s="1970"/>
      <c r="H13" s="1970"/>
      <c r="I13" s="1970"/>
      <c r="J13" s="1970"/>
      <c r="K13" s="1970"/>
      <c r="L13" s="1970"/>
    </row>
    <row r="14" spans="1:12" ht="12">
      <c r="A14" s="1927" t="s">
        <v>3032</v>
      </c>
      <c r="B14" s="1933" t="s">
        <v>3033</v>
      </c>
      <c r="C14" s="1970">
        <f>(mo!B10+mo!B11+mo!B12+mo!B13)/1000</f>
        <v>730.6</v>
      </c>
      <c r="D14" s="1970">
        <f>(mo!C10+mo!C11+mo!C12+mo!C13)/1000</f>
        <v>250.63705999999999</v>
      </c>
      <c r="E14" s="1970">
        <f>(mo!D10+mo!D11+mo!D12+mo!D13)/1000</f>
        <v>352.5</v>
      </c>
      <c r="F14" s="1970">
        <f>(mo!E10+mo!E11+mo!E12+mo!E13)/1000</f>
        <v>69.621400000000008</v>
      </c>
      <c r="G14" s="1970">
        <f>(mo!F10+mo!F11+mo!F12+mo!F13)/1000</f>
        <v>86.6</v>
      </c>
      <c r="H14" s="1970">
        <f>(mo!G10+mo!G11+mo!G12+mo!G13)/1000</f>
        <v>13.924250000000001</v>
      </c>
      <c r="I14" s="1970">
        <f>(mo!H10+mo!H11+mo!H12+mo!H13)/1000</f>
        <v>118</v>
      </c>
      <c r="J14" s="1970">
        <f>(mo!I10+mo!I11+mo!I12+mo!I13)/1000</f>
        <v>27.848559999999999</v>
      </c>
      <c r="K14" s="1970">
        <f>(mo!J10+mo!J11+mo!J12+mo!J13)/1000</f>
        <v>59</v>
      </c>
      <c r="L14" s="1970">
        <f>(mo!K10+mo!K11+mo!K12+mo!K13)/1000</f>
        <v>13.924250000000001</v>
      </c>
    </row>
    <row r="15" spans="1:12" ht="12">
      <c r="A15" s="1927" t="s">
        <v>3034</v>
      </c>
      <c r="B15" s="1933" t="s">
        <v>3035</v>
      </c>
      <c r="C15" s="1986"/>
      <c r="D15" s="1986"/>
      <c r="E15" s="1970"/>
      <c r="F15" s="1970"/>
      <c r="G15" s="1970"/>
      <c r="H15" s="1970"/>
      <c r="I15" s="1970"/>
      <c r="J15" s="1970"/>
      <c r="K15" s="1970"/>
      <c r="L15" s="1970"/>
    </row>
    <row r="16" spans="1:12" ht="12">
      <c r="A16" s="1938" t="s">
        <v>3036</v>
      </c>
      <c r="B16" s="1939" t="s">
        <v>3037</v>
      </c>
      <c r="C16" s="1969">
        <f>SUM(C17:C24)</f>
        <v>677</v>
      </c>
      <c r="D16" s="1969">
        <f>SUM(D17:D24)</f>
        <v>58.179590000000005</v>
      </c>
      <c r="E16" s="1969">
        <f>SUM(E17:E24)</f>
        <v>73</v>
      </c>
      <c r="F16" s="1969">
        <f t="shared" ref="F16:L16" si="3">SUM(F17:F24)</f>
        <v>8.0189200000000014</v>
      </c>
      <c r="G16" s="1969">
        <f t="shared" si="3"/>
        <v>161</v>
      </c>
      <c r="H16" s="1969">
        <f t="shared" si="3"/>
        <v>15.861999999999998</v>
      </c>
      <c r="I16" s="1969">
        <f t="shared" si="3"/>
        <v>100.2</v>
      </c>
      <c r="J16" s="1969">
        <f t="shared" si="3"/>
        <v>80.819999999999993</v>
      </c>
      <c r="K16" s="1969">
        <f t="shared" si="3"/>
        <v>10</v>
      </c>
      <c r="L16" s="1969">
        <f t="shared" si="3"/>
        <v>5.2</v>
      </c>
    </row>
    <row r="17" spans="1:12" ht="24">
      <c r="A17" s="1927" t="s">
        <v>3038</v>
      </c>
      <c r="B17" s="1933" t="s">
        <v>3039</v>
      </c>
      <c r="C17" s="1970">
        <f>mo!B18/1000</f>
        <v>257</v>
      </c>
      <c r="D17" s="1970">
        <f>mo!C18/1000</f>
        <v>3.3999899999999998</v>
      </c>
      <c r="E17" s="1970">
        <f>mo!D18/1000</f>
        <v>1</v>
      </c>
      <c r="F17" s="1970">
        <f>mo!E18/1000</f>
        <v>0</v>
      </c>
      <c r="G17" s="1970">
        <f>mo!F18/1000</f>
        <v>1</v>
      </c>
      <c r="H17" s="1970">
        <f>mo!G18/1000</f>
        <v>0.15</v>
      </c>
      <c r="I17" s="1970">
        <f>mo!H18/1000</f>
        <v>23.5</v>
      </c>
      <c r="J17" s="1970">
        <f>mo!I18/1000</f>
        <v>0</v>
      </c>
      <c r="K17" s="1970">
        <f>mo!J18/1000</f>
        <v>0</v>
      </c>
      <c r="L17" s="1970">
        <f>mo!K18/1000</f>
        <v>0</v>
      </c>
    </row>
    <row r="18" spans="1:12" ht="48">
      <c r="A18" s="1927" t="s">
        <v>3040</v>
      </c>
      <c r="B18" s="1933" t="s">
        <v>3041</v>
      </c>
      <c r="C18" s="1970">
        <f>mo!B19/1000</f>
        <v>220</v>
      </c>
      <c r="D18" s="1970">
        <f>mo!C19/1000</f>
        <v>15.454600000000001</v>
      </c>
      <c r="E18" s="1970">
        <f>mo!D19/1000</f>
        <v>62</v>
      </c>
      <c r="F18" s="1970">
        <f>mo!E19/1000</f>
        <v>7.0189200000000005</v>
      </c>
      <c r="G18" s="1970">
        <f>mo!F19/1000</f>
        <v>150</v>
      </c>
      <c r="H18" s="1970">
        <f>mo!G19/1000</f>
        <v>7.5119999999999996</v>
      </c>
      <c r="I18" s="1970">
        <f>mo!H19/1000</f>
        <v>66.7</v>
      </c>
      <c r="J18" s="1970">
        <f>mo!I19/1000</f>
        <v>79</v>
      </c>
      <c r="K18" s="1970">
        <f>mo!J19/1000</f>
        <v>0</v>
      </c>
      <c r="L18" s="1970">
        <f>mo!K19/1000</f>
        <v>0</v>
      </c>
    </row>
    <row r="19" spans="1:12" ht="24">
      <c r="A19" s="1927" t="s">
        <v>3042</v>
      </c>
      <c r="B19" s="1933" t="s">
        <v>3043</v>
      </c>
      <c r="C19" s="1986"/>
      <c r="D19" s="1986"/>
      <c r="E19" s="1970"/>
      <c r="F19" s="1970"/>
      <c r="G19" s="1970"/>
      <c r="H19" s="1970"/>
      <c r="I19" s="1970"/>
      <c r="J19" s="1970"/>
      <c r="K19" s="1970"/>
      <c r="L19" s="1970"/>
    </row>
    <row r="20" spans="1:12" ht="24">
      <c r="A20" s="1927" t="s">
        <v>3044</v>
      </c>
      <c r="B20" s="1933" t="s">
        <v>3045</v>
      </c>
      <c r="C20" s="1986"/>
      <c r="D20" s="1986"/>
      <c r="E20" s="1970"/>
      <c r="F20" s="1970"/>
      <c r="G20" s="1970"/>
      <c r="H20" s="1970"/>
      <c r="I20" s="1970"/>
      <c r="J20" s="1970"/>
      <c r="K20" s="1970"/>
      <c r="L20" s="1970"/>
    </row>
    <row r="21" spans="1:12" ht="12">
      <c r="A21" s="1928" t="s">
        <v>3046</v>
      </c>
      <c r="B21" s="1934" t="s">
        <v>3047</v>
      </c>
      <c r="C21" s="1987"/>
      <c r="D21" s="1987"/>
      <c r="E21" s="1970"/>
      <c r="F21" s="1970"/>
      <c r="G21" s="1970"/>
      <c r="H21" s="1970"/>
      <c r="I21" s="1970"/>
      <c r="J21" s="1970"/>
      <c r="K21" s="1970"/>
      <c r="L21" s="1970"/>
    </row>
    <row r="22" spans="1:12" ht="24">
      <c r="A22" s="1927" t="s">
        <v>3048</v>
      </c>
      <c r="B22" s="1933" t="s">
        <v>3049</v>
      </c>
      <c r="C22" s="1986"/>
      <c r="D22" s="1986"/>
      <c r="E22" s="1970"/>
      <c r="F22" s="1970"/>
      <c r="G22" s="1970"/>
      <c r="H22" s="1970"/>
      <c r="I22" s="1970"/>
      <c r="J22" s="1970"/>
      <c r="K22" s="1970"/>
      <c r="L22" s="1970"/>
    </row>
    <row r="23" spans="1:12" ht="12">
      <c r="A23" s="1927" t="s">
        <v>3050</v>
      </c>
      <c r="B23" s="1933" t="s">
        <v>3051</v>
      </c>
      <c r="C23" s="1986"/>
      <c r="D23" s="1986"/>
      <c r="E23" s="1970"/>
      <c r="F23" s="1970"/>
      <c r="G23" s="1970"/>
      <c r="H23" s="1970"/>
      <c r="I23" s="1970"/>
      <c r="J23" s="1970"/>
      <c r="K23" s="1970"/>
      <c r="L23" s="1970"/>
    </row>
    <row r="24" spans="1:12" ht="12">
      <c r="A24" s="1927" t="s">
        <v>3052</v>
      </c>
      <c r="B24" s="1933" t="s">
        <v>3053</v>
      </c>
      <c r="C24" s="1970">
        <f>(mo!B23+mo!B24)/1000</f>
        <v>200</v>
      </c>
      <c r="D24" s="1970">
        <f>(mo!C23+mo!C24)/1000</f>
        <v>39.325000000000003</v>
      </c>
      <c r="E24" s="1970">
        <f>(mo!D23+mo!D24)/1000</f>
        <v>10</v>
      </c>
      <c r="F24" s="1970">
        <f>(mo!E23+mo!E24)/1000</f>
        <v>1</v>
      </c>
      <c r="G24" s="1970">
        <f>(mo!F23+mo!F24)/1000</f>
        <v>10</v>
      </c>
      <c r="H24" s="1970">
        <f>(mo!G23+mo!G24)/1000</f>
        <v>8.1999999999999993</v>
      </c>
      <c r="I24" s="1970">
        <f>(mo!H23+mo!H24)/1000</f>
        <v>10</v>
      </c>
      <c r="J24" s="1970">
        <f>(mo!I23+mo!I24)/1000</f>
        <v>1.82</v>
      </c>
      <c r="K24" s="1970">
        <f>(mo!J23+mo!J24)/1000</f>
        <v>10</v>
      </c>
      <c r="L24" s="1970">
        <f>(mo!K23+mo!K24)/1000</f>
        <v>5.2</v>
      </c>
    </row>
    <row r="25" spans="1:12" ht="24">
      <c r="A25" s="1940" t="s">
        <v>3054</v>
      </c>
      <c r="B25" s="1941" t="s">
        <v>3055</v>
      </c>
      <c r="C25" s="1968">
        <f>(mo!B26+mo!B42)/1000</f>
        <v>16115.7</v>
      </c>
      <c r="D25" s="1968">
        <f>(mo!C26+mo!C42)/1000</f>
        <v>3355.7830600000002</v>
      </c>
      <c r="E25" s="1968">
        <f>(mo!D26+mo!D42)/1000</f>
        <v>10585.5</v>
      </c>
      <c r="F25" s="1968">
        <f>(mo!E26+mo!E42)/1000</f>
        <v>2195.6422799999996</v>
      </c>
      <c r="G25" s="1968">
        <f>(mo!F26+mo!F42)/1000</f>
        <v>10135.9</v>
      </c>
      <c r="H25" s="1968">
        <f>(mo!G26+mo!G42)/1000</f>
        <v>2104.4313999999999</v>
      </c>
      <c r="I25" s="1968">
        <f>(mo!H26+mo!H42)/1000</f>
        <v>7852.2</v>
      </c>
      <c r="J25" s="1968">
        <f>(mo!I26+mo!I42)/1000</f>
        <v>1730.0887299999999</v>
      </c>
      <c r="K25" s="1968">
        <f>(mo!J26+mo!J42)/1000</f>
        <v>7375.5</v>
      </c>
      <c r="L25" s="1968">
        <f>(mo!K26+mo!K42)/1000</f>
        <v>1845</v>
      </c>
    </row>
    <row r="26" spans="1:12" ht="24">
      <c r="A26" s="1926" t="s">
        <v>3056</v>
      </c>
      <c r="B26" s="1942" t="s">
        <v>3057</v>
      </c>
      <c r="C26" s="1971">
        <f>SUM(C27:C34)</f>
        <v>14095.7</v>
      </c>
      <c r="D26" s="1971">
        <f>SUM(D27:D34)</f>
        <v>3335.7836200000002</v>
      </c>
      <c r="E26" s="1971">
        <f>SUM(E27:E34)</f>
        <v>8855.5</v>
      </c>
      <c r="F26" s="1971">
        <f t="shared" ref="F26:L26" si="4">SUM(F27:F34)</f>
        <v>2177.8512799999999</v>
      </c>
      <c r="G26" s="1971">
        <f t="shared" si="4"/>
        <v>8462.7000000000007</v>
      </c>
      <c r="H26" s="1971">
        <f t="shared" si="4"/>
        <v>2084.4313999999999</v>
      </c>
      <c r="I26" s="1971">
        <f t="shared" si="4"/>
        <v>6851.2</v>
      </c>
      <c r="J26" s="1971">
        <f t="shared" si="4"/>
        <v>1710.0887299999999</v>
      </c>
      <c r="K26" s="1971">
        <f t="shared" si="4"/>
        <v>7375.5</v>
      </c>
      <c r="L26" s="1971">
        <f t="shared" si="4"/>
        <v>1845</v>
      </c>
    </row>
    <row r="27" spans="1:12" ht="24">
      <c r="A27" s="1927" t="s">
        <v>3058</v>
      </c>
      <c r="B27" s="1933" t="s">
        <v>3059</v>
      </c>
      <c r="C27" s="1970">
        <f>mo!B28/1000</f>
        <v>13141.2</v>
      </c>
      <c r="D27" s="1970">
        <f>mo!C28/1000</f>
        <v>3285</v>
      </c>
      <c r="E27" s="1970">
        <f>mo!D28/1000</f>
        <v>8628.2999999999993</v>
      </c>
      <c r="F27" s="1970">
        <f>mo!E28/1000</f>
        <v>2157</v>
      </c>
      <c r="G27" s="1970">
        <f>mo!F28/1000</f>
        <v>8280.1</v>
      </c>
      <c r="H27" s="1970">
        <f>mo!G28/1000</f>
        <v>2070</v>
      </c>
      <c r="I27" s="1970">
        <f>mo!H28/1000</f>
        <v>6760.5</v>
      </c>
      <c r="J27" s="1970">
        <f>mo!I28/1000</f>
        <v>1689</v>
      </c>
      <c r="K27" s="1970">
        <f>mo!J28/1000</f>
        <v>7374.8</v>
      </c>
      <c r="L27" s="1970">
        <f>mo!K28/1000</f>
        <v>1845</v>
      </c>
    </row>
    <row r="28" spans="1:12" ht="12">
      <c r="A28" s="1927" t="s">
        <v>3060</v>
      </c>
      <c r="B28" s="1933" t="s">
        <v>3061</v>
      </c>
      <c r="C28" s="1986"/>
      <c r="D28" s="1986"/>
      <c r="E28" s="1970"/>
      <c r="F28" s="1970"/>
      <c r="G28" s="1970"/>
      <c r="H28" s="1970"/>
      <c r="I28" s="1970"/>
      <c r="J28" s="1970"/>
      <c r="K28" s="1970"/>
      <c r="L28" s="1970"/>
    </row>
    <row r="29" spans="1:12" ht="12">
      <c r="A29" s="1927" t="s">
        <v>3062</v>
      </c>
      <c r="B29" s="1933" t="s">
        <v>3063</v>
      </c>
      <c r="C29" s="1986"/>
      <c r="D29" s="1986"/>
      <c r="E29" s="1970">
        <f>mo!D34/1000</f>
        <v>0</v>
      </c>
      <c r="F29" s="1970">
        <f>mo!E34/1000</f>
        <v>0</v>
      </c>
      <c r="G29" s="1970">
        <f>mo!F34/1000</f>
        <v>0</v>
      </c>
      <c r="H29" s="1970">
        <f>mo!G34/1000</f>
        <v>0</v>
      </c>
      <c r="I29" s="1970">
        <f>mo!H34/1000</f>
        <v>0</v>
      </c>
      <c r="J29" s="1970">
        <f>mo!I34/1000</f>
        <v>0</v>
      </c>
      <c r="K29" s="1970">
        <f>mo!J34/1000</f>
        <v>0</v>
      </c>
      <c r="L29" s="1970">
        <f>mo!K34/1000</f>
        <v>0</v>
      </c>
    </row>
    <row r="30" spans="1:12" ht="24">
      <c r="A30" s="1927" t="s">
        <v>3064</v>
      </c>
      <c r="B30" s="1933" t="s">
        <v>3065</v>
      </c>
      <c r="C30" s="1986"/>
      <c r="D30" s="1986"/>
      <c r="E30" s="1970"/>
      <c r="F30" s="1970"/>
      <c r="G30" s="1970"/>
      <c r="H30" s="1970"/>
      <c r="I30" s="1970"/>
      <c r="J30" s="1970"/>
      <c r="K30" s="1970"/>
      <c r="L30" s="1970"/>
    </row>
    <row r="31" spans="1:12" ht="12">
      <c r="A31" s="1927" t="s">
        <v>3066</v>
      </c>
      <c r="B31" s="1933" t="s">
        <v>3067</v>
      </c>
      <c r="C31" s="1986"/>
      <c r="D31" s="1986"/>
      <c r="E31" s="1970"/>
      <c r="F31" s="1970"/>
      <c r="G31" s="1970"/>
      <c r="H31" s="1970"/>
      <c r="I31" s="1970"/>
      <c r="J31" s="1970"/>
      <c r="K31" s="1970"/>
      <c r="L31" s="1970"/>
    </row>
    <row r="32" spans="1:12" ht="12">
      <c r="A32" s="1927" t="s">
        <v>3068</v>
      </c>
      <c r="B32" s="1933" t="s">
        <v>3069</v>
      </c>
      <c r="C32" s="1986"/>
      <c r="D32" s="1986"/>
      <c r="E32" s="1970"/>
      <c r="F32" s="1970"/>
      <c r="G32" s="1970"/>
      <c r="H32" s="1970"/>
      <c r="I32" s="1970"/>
      <c r="J32" s="1970"/>
      <c r="K32" s="1970"/>
      <c r="L32" s="1970"/>
    </row>
    <row r="33" spans="1:12" ht="12">
      <c r="A33" s="1927" t="s">
        <v>3070</v>
      </c>
      <c r="B33" s="1933" t="s">
        <v>3071</v>
      </c>
      <c r="C33" s="1970">
        <f>(mo!B38+mo!B39)/1000</f>
        <v>342.2</v>
      </c>
      <c r="D33" s="1970">
        <f>(mo!C38+mo!C39)/1000</f>
        <v>50.783619999999999</v>
      </c>
      <c r="E33" s="1970">
        <f>(mo!D38+mo!D39)/1000</f>
        <v>116.7</v>
      </c>
      <c r="F33" s="1970">
        <f>(mo!E38+mo!E39)/1000</f>
        <v>20.851279999999999</v>
      </c>
      <c r="G33" s="1970">
        <f>(mo!F38+mo!F39)/1000</f>
        <v>92.2</v>
      </c>
      <c r="H33" s="1970">
        <f>(mo!G38+mo!G39)/1000</f>
        <v>14.4314</v>
      </c>
      <c r="I33" s="1970">
        <f>(mo!H38+mo!H39)/1000</f>
        <v>90.7</v>
      </c>
      <c r="J33" s="1970">
        <f>(mo!I38+mo!I39)/1000</f>
        <v>21.088729999999998</v>
      </c>
      <c r="K33" s="1970">
        <f>(mo!J38+mo!J39)/1000</f>
        <v>0.7</v>
      </c>
      <c r="L33" s="1970">
        <f>(mo!K38+mo!K39)/1000</f>
        <v>0</v>
      </c>
    </row>
    <row r="34" spans="1:12" ht="12">
      <c r="A34" s="1927" t="s">
        <v>3072</v>
      </c>
      <c r="B34" s="1933" t="s">
        <v>3073</v>
      </c>
      <c r="C34" s="1970">
        <f>mo!B35/1000</f>
        <v>612.29999999999995</v>
      </c>
      <c r="D34" s="1970">
        <f>mo!C35/1000</f>
        <v>0</v>
      </c>
      <c r="E34" s="1970">
        <f>mo!D35/1000</f>
        <v>110.5</v>
      </c>
      <c r="F34" s="1970">
        <f>mo!E35/1000</f>
        <v>0</v>
      </c>
      <c r="G34" s="1970">
        <f>mo!F35/1000</f>
        <v>90.4</v>
      </c>
      <c r="H34" s="1970">
        <f>mo!G35/1000</f>
        <v>0</v>
      </c>
      <c r="I34" s="1970">
        <f>mo!H35/1000</f>
        <v>0</v>
      </c>
      <c r="J34" s="1970">
        <f>mo!I35/1000</f>
        <v>0</v>
      </c>
      <c r="K34" s="1970">
        <f>mo!J35/1000</f>
        <v>0</v>
      </c>
      <c r="L34" s="1970">
        <f>mo!K35/1000</f>
        <v>0</v>
      </c>
    </row>
    <row r="35" spans="1:12" ht="12">
      <c r="A35" s="1927"/>
      <c r="B35" s="1933"/>
      <c r="C35" s="1986"/>
      <c r="D35" s="1986"/>
      <c r="E35" s="1970"/>
      <c r="F35" s="1970"/>
      <c r="G35" s="1970"/>
      <c r="H35" s="1970"/>
      <c r="I35" s="1970"/>
      <c r="J35" s="1970"/>
      <c r="K35" s="1970"/>
      <c r="L35" s="1970"/>
    </row>
    <row r="36" spans="1:12" ht="12">
      <c r="A36" s="1927"/>
      <c r="B36" s="1933"/>
      <c r="C36" s="1986"/>
      <c r="D36" s="1986"/>
      <c r="E36" s="1970"/>
      <c r="F36" s="1970"/>
      <c r="G36" s="1970"/>
      <c r="H36" s="1970"/>
      <c r="I36" s="1970"/>
      <c r="J36" s="1970"/>
      <c r="K36" s="1970"/>
      <c r="L36" s="1970"/>
    </row>
    <row r="37" spans="1:12" ht="12" customHeight="1">
      <c r="A37" s="2760" t="s">
        <v>3014</v>
      </c>
      <c r="B37" s="2762" t="s">
        <v>2137</v>
      </c>
      <c r="C37" s="2764" t="s">
        <v>3300</v>
      </c>
      <c r="D37" s="2765"/>
      <c r="E37" s="2759" t="s">
        <v>1281</v>
      </c>
      <c r="F37" s="2759"/>
      <c r="G37" s="2759" t="s">
        <v>1282</v>
      </c>
      <c r="H37" s="2759"/>
      <c r="I37" s="2759" t="s">
        <v>3252</v>
      </c>
      <c r="J37" s="2759"/>
      <c r="K37" s="2759" t="s">
        <v>2983</v>
      </c>
      <c r="L37" s="2759"/>
    </row>
    <row r="38" spans="1:12" ht="12" customHeight="1">
      <c r="A38" s="2761"/>
      <c r="B38" s="2763"/>
      <c r="C38" s="2766"/>
      <c r="D38" s="2767"/>
      <c r="E38" s="2759"/>
      <c r="F38" s="2759"/>
      <c r="G38" s="2759"/>
      <c r="H38" s="2759"/>
      <c r="I38" s="2759"/>
      <c r="J38" s="2759"/>
      <c r="K38" s="2759"/>
      <c r="L38" s="2759"/>
    </row>
    <row r="39" spans="1:12" ht="12" customHeight="1">
      <c r="A39" s="2761"/>
      <c r="B39" s="2763"/>
      <c r="C39" s="2766"/>
      <c r="D39" s="2767"/>
      <c r="E39" s="2759"/>
      <c r="F39" s="2759"/>
      <c r="G39" s="2759"/>
      <c r="H39" s="2759"/>
      <c r="I39" s="2759"/>
      <c r="J39" s="2759"/>
      <c r="K39" s="2759"/>
      <c r="L39" s="2759"/>
    </row>
    <row r="40" spans="1:12" ht="12" customHeight="1">
      <c r="A40" s="2761"/>
      <c r="B40" s="2763"/>
      <c r="C40" s="2768"/>
      <c r="D40" s="2769"/>
      <c r="E40" s="2759"/>
      <c r="F40" s="2759"/>
      <c r="G40" s="2759"/>
      <c r="H40" s="2759"/>
      <c r="I40" s="2759"/>
      <c r="J40" s="2759"/>
      <c r="K40" s="2759"/>
      <c r="L40" s="2759"/>
    </row>
    <row r="41" spans="1:12" ht="12">
      <c r="A41" s="1923" t="s">
        <v>3015</v>
      </c>
      <c r="B41" s="1930">
        <v>2</v>
      </c>
      <c r="C41" s="1988"/>
      <c r="D41" s="1988"/>
      <c r="E41" s="1936">
        <v>7</v>
      </c>
      <c r="F41" s="1936">
        <v>35</v>
      </c>
      <c r="G41" s="1936">
        <v>7</v>
      </c>
      <c r="H41" s="1936">
        <v>35</v>
      </c>
      <c r="I41" s="1936">
        <v>7</v>
      </c>
      <c r="J41" s="1936">
        <v>35</v>
      </c>
      <c r="K41" s="1936">
        <v>7</v>
      </c>
      <c r="L41" s="1936">
        <v>35</v>
      </c>
    </row>
    <row r="42" spans="1:12" ht="11.25" customHeight="1">
      <c r="A42" s="1943" t="s">
        <v>3074</v>
      </c>
      <c r="B42" s="1942" t="s">
        <v>3075</v>
      </c>
      <c r="C42" s="1961">
        <f>SUM(C43:C46)</f>
        <v>2020</v>
      </c>
      <c r="D42" s="1961">
        <f>SUM(D43:D46)</f>
        <v>20</v>
      </c>
      <c r="E42" s="1961">
        <f>SUM(E43:E46)</f>
        <v>1730</v>
      </c>
      <c r="F42" s="1961">
        <f t="shared" ref="F42:L42" si="5">SUM(F43:F46)</f>
        <v>20</v>
      </c>
      <c r="G42" s="1961">
        <f t="shared" si="5"/>
        <v>1673.2</v>
      </c>
      <c r="H42" s="1961">
        <f t="shared" si="5"/>
        <v>20</v>
      </c>
      <c r="I42" s="1961">
        <f t="shared" si="5"/>
        <v>1001</v>
      </c>
      <c r="J42" s="1961">
        <f t="shared" si="5"/>
        <v>20</v>
      </c>
      <c r="K42" s="1961">
        <f t="shared" si="5"/>
        <v>0</v>
      </c>
      <c r="L42" s="1961">
        <f t="shared" si="5"/>
        <v>0</v>
      </c>
    </row>
    <row r="43" spans="1:12" ht="11.25" customHeight="1">
      <c r="A43" s="1927" t="s">
        <v>3076</v>
      </c>
      <c r="B43" s="1933" t="s">
        <v>3077</v>
      </c>
      <c r="C43" s="1962">
        <f>mo!B29/1000</f>
        <v>2020</v>
      </c>
      <c r="D43" s="1962">
        <f>mo!C29/1000</f>
        <v>20</v>
      </c>
      <c r="E43" s="1962">
        <f>mo!D29/1000</f>
        <v>1730</v>
      </c>
      <c r="F43" s="1962">
        <f>mo!E29/1000</f>
        <v>20</v>
      </c>
      <c r="G43" s="1962">
        <f>mo!F29/1000</f>
        <v>1673.2</v>
      </c>
      <c r="H43" s="1962">
        <f>mo!G29/1000</f>
        <v>20</v>
      </c>
      <c r="I43" s="1962">
        <f>mo!H29/1000</f>
        <v>1001</v>
      </c>
      <c r="J43" s="1962">
        <f>mo!I29/1000</f>
        <v>20</v>
      </c>
      <c r="K43" s="1962">
        <f>mo!J29/1000</f>
        <v>0</v>
      </c>
      <c r="L43" s="1962">
        <f>mo!K29/1000</f>
        <v>0</v>
      </c>
    </row>
    <row r="44" spans="1:12" ht="24">
      <c r="A44" s="1927" t="s">
        <v>3078</v>
      </c>
      <c r="B44" s="1933" t="s">
        <v>3079</v>
      </c>
      <c r="C44" s="1986"/>
      <c r="D44" s="1986"/>
      <c r="E44" s="1962"/>
      <c r="F44" s="1962"/>
      <c r="G44" s="1962"/>
      <c r="H44" s="1962"/>
      <c r="I44" s="1962"/>
      <c r="J44" s="1962"/>
      <c r="K44" s="1962"/>
      <c r="L44" s="1962"/>
    </row>
    <row r="45" spans="1:12" ht="48">
      <c r="A45" s="1927" t="s">
        <v>3080</v>
      </c>
      <c r="B45" s="1934" t="s">
        <v>3081</v>
      </c>
      <c r="C45" s="1987"/>
      <c r="D45" s="1987"/>
      <c r="E45" s="1962"/>
      <c r="F45" s="1962"/>
      <c r="G45" s="1962"/>
      <c r="H45" s="1962"/>
      <c r="I45" s="1962"/>
      <c r="J45" s="1962"/>
      <c r="K45" s="1962"/>
      <c r="L45" s="1962"/>
    </row>
    <row r="46" spans="1:12" ht="24">
      <c r="A46" s="1927" t="s">
        <v>3082</v>
      </c>
      <c r="B46" s="1933" t="s">
        <v>3083</v>
      </c>
      <c r="C46" s="1986"/>
      <c r="D46" s="1986"/>
      <c r="E46" s="1962"/>
      <c r="F46" s="1962"/>
      <c r="G46" s="1962"/>
      <c r="H46" s="1962"/>
      <c r="I46" s="1962"/>
      <c r="J46" s="1962"/>
      <c r="K46" s="1962"/>
      <c r="L46" s="1962"/>
    </row>
    <row r="47" spans="1:12" ht="24">
      <c r="A47" s="1943" t="s">
        <v>3084</v>
      </c>
      <c r="B47" s="1942" t="s">
        <v>3085</v>
      </c>
      <c r="C47" s="1989"/>
      <c r="D47" s="1989"/>
      <c r="E47" s="1963"/>
      <c r="F47" s="1963"/>
      <c r="G47" s="1963"/>
      <c r="H47" s="1963"/>
      <c r="I47" s="1963"/>
      <c r="J47" s="1963"/>
      <c r="K47" s="1963"/>
      <c r="L47" s="1963"/>
    </row>
    <row r="48" spans="1:12" ht="12.75">
      <c r="A48" s="1924" t="s">
        <v>3086</v>
      </c>
      <c r="B48" s="1944" t="s">
        <v>3087</v>
      </c>
      <c r="C48" s="1964">
        <f>C49+C76</f>
        <v>25901.85</v>
      </c>
      <c r="D48" s="1964">
        <f>D49+D76</f>
        <v>5249.1624499999998</v>
      </c>
      <c r="E48" s="1964">
        <f>E49+E76</f>
        <v>11885.2</v>
      </c>
      <c r="F48" s="1964">
        <f t="shared" ref="F48:L48" si="6">F49+F76</f>
        <v>1870.22606</v>
      </c>
      <c r="G48" s="1964">
        <f t="shared" si="6"/>
        <v>10719.5</v>
      </c>
      <c r="H48" s="1964">
        <f t="shared" si="6"/>
        <v>1188.2027499999999</v>
      </c>
      <c r="I48" s="1964">
        <f t="shared" si="6"/>
        <v>8305.4</v>
      </c>
      <c r="J48" s="1964">
        <f t="shared" si="6"/>
        <v>1608.8688699999998</v>
      </c>
      <c r="K48" s="1964">
        <f t="shared" si="6"/>
        <v>7564.5</v>
      </c>
      <c r="L48" s="1964">
        <f t="shared" si="6"/>
        <v>1170.4810899999998</v>
      </c>
    </row>
    <row r="49" spans="1:12" ht="48">
      <c r="A49" s="1940" t="s">
        <v>3088</v>
      </c>
      <c r="B49" s="1941" t="s">
        <v>3089</v>
      </c>
      <c r="C49" s="1965">
        <f>C50+C51+C52+C53+C56+C57</f>
        <v>14979.349999999999</v>
      </c>
      <c r="D49" s="1965">
        <f>D50+D51+D52+D53+D56+D57</f>
        <v>4378.89257</v>
      </c>
      <c r="E49" s="1965">
        <f>E50+E51+E52+E53+E56+E57</f>
        <v>7016.8</v>
      </c>
      <c r="F49" s="1965">
        <f t="shared" ref="F49:L49" si="7">F50+F51+F52+F53+F56+F57</f>
        <v>1411.9680499999999</v>
      </c>
      <c r="G49" s="1965">
        <f t="shared" si="7"/>
        <v>6005.3003499999995</v>
      </c>
      <c r="H49" s="1965">
        <f t="shared" si="7"/>
        <v>885.87850999999989</v>
      </c>
      <c r="I49" s="1965">
        <f t="shared" si="7"/>
        <v>5241.2</v>
      </c>
      <c r="J49" s="1965">
        <f t="shared" si="7"/>
        <v>1290.2196899999999</v>
      </c>
      <c r="K49" s="1965">
        <f t="shared" si="7"/>
        <v>3478.7000000000003</v>
      </c>
      <c r="L49" s="1965">
        <f t="shared" si="7"/>
        <v>882.9242099999999</v>
      </c>
    </row>
    <row r="50" spans="1:12" ht="24">
      <c r="A50" s="1946" t="s">
        <v>3090</v>
      </c>
      <c r="B50" s="1947" t="s">
        <v>3091</v>
      </c>
      <c r="C50" s="1966">
        <f>(mo!B47+mo!B118)/1000</f>
        <v>8536</v>
      </c>
      <c r="D50" s="1966">
        <f>(mo!C47+mo!C118)/1000</f>
        <v>2183.8551299999999</v>
      </c>
      <c r="E50" s="1966">
        <f>(mo!D47+mo!D118)/1000</f>
        <v>3802</v>
      </c>
      <c r="F50" s="1966">
        <f>(mo!E47+mo!E118)/1000</f>
        <v>822.98316</v>
      </c>
      <c r="G50" s="1966">
        <f>(mo!F47+mo!F118)/1000</f>
        <v>3071.5433499999999</v>
      </c>
      <c r="H50" s="1966">
        <f>(mo!G47+mo!G118)/1000</f>
        <v>553.38337000000001</v>
      </c>
      <c r="I50" s="1966">
        <f>(mo!H47+mo!H118)/1000</f>
        <v>3094.5</v>
      </c>
      <c r="J50" s="1966">
        <f>(mo!I47+mo!I118)/1000</f>
        <v>682.63656000000003</v>
      </c>
      <c r="K50" s="1966">
        <f>(mo!J47+mo!J118)/1000</f>
        <v>1700</v>
      </c>
      <c r="L50" s="1966">
        <f>(mo!K47+mo!K118)/1000</f>
        <v>328.28332</v>
      </c>
    </row>
    <row r="51" spans="1:12" ht="24">
      <c r="A51" s="1946" t="s">
        <v>3092</v>
      </c>
      <c r="B51" s="1947" t="s">
        <v>3093</v>
      </c>
      <c r="C51" s="1966">
        <f>(mo!B49+mo!B119)/1000</f>
        <v>2282.9</v>
      </c>
      <c r="D51" s="1966">
        <f>(mo!C49+mo!C119)/1000</f>
        <v>564.65800000000002</v>
      </c>
      <c r="E51" s="1966">
        <f>(mo!D49+mo!D119)/1000</f>
        <v>1148.5</v>
      </c>
      <c r="F51" s="1966">
        <f>(mo!E49+mo!E119)/1000</f>
        <v>236.73334000000003</v>
      </c>
      <c r="G51" s="1966">
        <f>(mo!F49+mo!F119)/1000</f>
        <v>1017.647</v>
      </c>
      <c r="H51" s="1966">
        <f>(mo!G49+mo!G119)/1000</f>
        <v>139.55432999999999</v>
      </c>
      <c r="I51" s="1966">
        <f>(mo!H49+mo!H119)/1000</f>
        <v>930.1</v>
      </c>
      <c r="J51" s="1966">
        <f>(mo!I49+mo!I119)/1000</f>
        <v>133.14666</v>
      </c>
      <c r="K51" s="1966">
        <f>(mo!J49+mo!J119)/1000</f>
        <v>581</v>
      </c>
      <c r="L51" s="1966">
        <f>(mo!K49+mo!K119)/1000</f>
        <v>46.755399999999995</v>
      </c>
    </row>
    <row r="52" spans="1:12" ht="24">
      <c r="A52" s="1946" t="s">
        <v>3094</v>
      </c>
      <c r="B52" s="1947" t="s">
        <v>3095</v>
      </c>
      <c r="C52" s="1966">
        <f>mo!B58/1000</f>
        <v>100</v>
      </c>
      <c r="D52" s="1966">
        <f>mo!C58/1000</f>
        <v>72.65549</v>
      </c>
      <c r="E52" s="1966">
        <f>mo!D58/1000</f>
        <v>650</v>
      </c>
      <c r="F52" s="1966">
        <f>mo!E58/1000</f>
        <v>227.89870999999999</v>
      </c>
      <c r="G52" s="1966">
        <f>mo!F58/1000</f>
        <v>400</v>
      </c>
      <c r="H52" s="1966">
        <f>mo!G58/1000</f>
        <v>47.786389999999997</v>
      </c>
      <c r="I52" s="1966">
        <f>mo!H58/1000</f>
        <v>105.7</v>
      </c>
      <c r="J52" s="1966">
        <f>mo!I58/1000</f>
        <v>78.788509999999988</v>
      </c>
      <c r="K52" s="1966">
        <f>mo!J58/1000</f>
        <v>254.70067</v>
      </c>
      <c r="L52" s="1966">
        <f>mo!K58/1000</f>
        <v>92.455929999999995</v>
      </c>
    </row>
    <row r="53" spans="1:12" ht="24">
      <c r="A53" s="1946" t="s">
        <v>3096</v>
      </c>
      <c r="B53" s="1947" t="s">
        <v>3097</v>
      </c>
      <c r="C53" s="1966">
        <f>mo!B219/1000</f>
        <v>103</v>
      </c>
      <c r="D53" s="1966">
        <f>mo!C219/1000</f>
        <v>19.538</v>
      </c>
      <c r="E53" s="1966">
        <f>mo!D219/1000</f>
        <v>0</v>
      </c>
      <c r="F53" s="1966">
        <f>mo!E219/1000</f>
        <v>0</v>
      </c>
      <c r="G53" s="1966">
        <f>mo!F219/1000</f>
        <v>0</v>
      </c>
      <c r="H53" s="1966">
        <f>mo!G219/1000</f>
        <v>0</v>
      </c>
      <c r="I53" s="1966">
        <f>mo!H219/1000</f>
        <v>135</v>
      </c>
      <c r="J53" s="1966">
        <f>mo!I219/1000</f>
        <v>29.442</v>
      </c>
      <c r="K53" s="1966">
        <f>mo!J219/1000</f>
        <v>400</v>
      </c>
      <c r="L53" s="1966">
        <f>mo!K219/1000</f>
        <v>92.526160000000004</v>
      </c>
    </row>
    <row r="54" spans="1:12" ht="24">
      <c r="A54" s="1948" t="s">
        <v>3098</v>
      </c>
      <c r="B54" s="1949" t="s">
        <v>3099</v>
      </c>
      <c r="C54" s="1966">
        <f>C53</f>
        <v>103</v>
      </c>
      <c r="D54" s="1966">
        <f>D53</f>
        <v>19.538</v>
      </c>
      <c r="E54" s="1966">
        <f>E53</f>
        <v>0</v>
      </c>
      <c r="F54" s="1966">
        <f t="shared" ref="F54:L54" si="8">F53</f>
        <v>0</v>
      </c>
      <c r="G54" s="1966">
        <f t="shared" si="8"/>
        <v>0</v>
      </c>
      <c r="H54" s="1966">
        <f t="shared" si="8"/>
        <v>0</v>
      </c>
      <c r="I54" s="1966">
        <f t="shared" si="8"/>
        <v>135</v>
      </c>
      <c r="J54" s="1966">
        <f t="shared" si="8"/>
        <v>29.442</v>
      </c>
      <c r="K54" s="1966">
        <f t="shared" si="8"/>
        <v>400</v>
      </c>
      <c r="L54" s="1966">
        <f t="shared" si="8"/>
        <v>92.526160000000004</v>
      </c>
    </row>
    <row r="55" spans="1:12" ht="12.75">
      <c r="A55" s="1928" t="s">
        <v>3100</v>
      </c>
      <c r="B55" s="1935" t="s">
        <v>3101</v>
      </c>
      <c r="C55" s="1990"/>
      <c r="D55" s="1990"/>
      <c r="E55" s="1962"/>
      <c r="F55" s="1962"/>
      <c r="G55" s="1962"/>
      <c r="H55" s="1962"/>
      <c r="I55" s="1962"/>
      <c r="J55" s="1962"/>
      <c r="K55" s="1962"/>
      <c r="L55" s="1962"/>
    </row>
    <row r="56" spans="1:12" ht="12.75">
      <c r="A56" s="1946" t="s">
        <v>3102</v>
      </c>
      <c r="B56" s="1947" t="s">
        <v>3103</v>
      </c>
      <c r="C56" s="1966">
        <f>(mo!B56+mo!B123)/1000</f>
        <v>206.9</v>
      </c>
      <c r="D56" s="1966">
        <f>(mo!C56+mo!C123)/1000</f>
        <v>42.696940000000005</v>
      </c>
      <c r="E56" s="1966">
        <f>(mo!D56+mo!D123)/1000</f>
        <v>43</v>
      </c>
      <c r="F56" s="1966">
        <f>(mo!E56+mo!E123)/1000</f>
        <v>4.8810000000000002</v>
      </c>
      <c r="G56" s="1966">
        <f>(mo!F56+mo!F123)/1000</f>
        <v>90</v>
      </c>
      <c r="H56" s="1966">
        <f>(mo!G56+mo!G123)/1000</f>
        <v>8.6455000000000002</v>
      </c>
      <c r="I56" s="1966">
        <f>(mo!H56+mo!H123)/1000</f>
        <v>105</v>
      </c>
      <c r="J56" s="1966">
        <f>(mo!I56+mo!I123)/1000</f>
        <v>75.042100000000005</v>
      </c>
      <c r="K56" s="1966">
        <f>(mo!J56+mo!J123)/1000</f>
        <v>52.218620000000001</v>
      </c>
      <c r="L56" s="1966">
        <f>(mo!K56+mo!K123)/1000</f>
        <v>52.218620000000001</v>
      </c>
    </row>
    <row r="57" spans="1:12" ht="12.75">
      <c r="A57" s="1946" t="s">
        <v>3104</v>
      </c>
      <c r="B57" s="1950" t="s">
        <v>3105</v>
      </c>
      <c r="C57" s="1966">
        <f>C58+C59+C60+C61+C63+C64+C65+C66+C68+C69+C67</f>
        <v>3750.55</v>
      </c>
      <c r="D57" s="1966">
        <f>D58+D59+D60+D61+D63+D64+D65+D66+D68+D69+D67</f>
        <v>1495.4890099999998</v>
      </c>
      <c r="E57" s="1966">
        <f>E58+E59+E60+E61+E63+E64+E65+E66+E68+E69+E67</f>
        <v>1373.3</v>
      </c>
      <c r="F57" s="1966">
        <f t="shared" ref="F57:L57" si="9">F58+F59+F60+F61+F63+F64+F65+F66+F68+F69+F67</f>
        <v>119.47183999999999</v>
      </c>
      <c r="G57" s="1966">
        <f t="shared" si="9"/>
        <v>1426.11</v>
      </c>
      <c r="H57" s="1966">
        <f t="shared" si="9"/>
        <v>136.50891999999999</v>
      </c>
      <c r="I57" s="1966">
        <f t="shared" si="9"/>
        <v>870.89999999999986</v>
      </c>
      <c r="J57" s="1966">
        <f t="shared" si="9"/>
        <v>291.16385999999994</v>
      </c>
      <c r="K57" s="1966">
        <f t="shared" si="9"/>
        <v>490.78071</v>
      </c>
      <c r="L57" s="1966">
        <f t="shared" si="9"/>
        <v>270.68477999999999</v>
      </c>
    </row>
    <row r="58" spans="1:12" ht="12.75">
      <c r="A58" s="1927" t="s">
        <v>3106</v>
      </c>
      <c r="B58" s="1933" t="s">
        <v>3107</v>
      </c>
      <c r="C58" s="1962">
        <f>mo!B48/1000</f>
        <v>317.45</v>
      </c>
      <c r="D58" s="1962">
        <f>mo!C48/1000</f>
        <v>58.608650000000004</v>
      </c>
      <c r="E58" s="1962">
        <f>mo!D48/1000</f>
        <v>145</v>
      </c>
      <c r="F58" s="1962">
        <f>mo!E48/1000</f>
        <v>60</v>
      </c>
      <c r="G58" s="1962">
        <f>mo!F48/1000</f>
        <v>295.89999999999998</v>
      </c>
      <c r="H58" s="1962">
        <f>mo!G48/1000</f>
        <v>7.3937100000000004</v>
      </c>
      <c r="I58" s="1962">
        <f>mo!H48/1000</f>
        <v>399.9</v>
      </c>
      <c r="J58" s="1962">
        <f>mo!I48/1000</f>
        <v>133.72999999999999</v>
      </c>
      <c r="K58" s="1962">
        <f>mo!J48/1000</f>
        <v>300</v>
      </c>
      <c r="L58" s="1962">
        <f>mo!K48/1000</f>
        <v>112.92</v>
      </c>
    </row>
    <row r="59" spans="1:12" ht="12.75">
      <c r="A59" s="1927" t="s">
        <v>3108</v>
      </c>
      <c r="B59" s="1933" t="s">
        <v>3109</v>
      </c>
      <c r="C59" s="1962">
        <f>(mo!B57+mo!B124)/1000</f>
        <v>113</v>
      </c>
      <c r="D59" s="1962">
        <f>(mo!C57+mo!C124)/1000</f>
        <v>0</v>
      </c>
      <c r="E59" s="1962">
        <f>(mo!D57+mo!D124)/1000</f>
        <v>67</v>
      </c>
      <c r="F59" s="1962">
        <f>(mo!E57+mo!E124)/1000</f>
        <v>7</v>
      </c>
      <c r="G59" s="1962">
        <f>(mo!F57+mo!F124)/1000</f>
        <v>192.4</v>
      </c>
      <c r="H59" s="1962">
        <f>(mo!G57+mo!G124)/1000</f>
        <v>73.427289999999999</v>
      </c>
      <c r="I59" s="1962">
        <f>(mo!H57+mo!H124)/1000</f>
        <v>100</v>
      </c>
      <c r="J59" s="1962">
        <f>(mo!I57+mo!I124)/1000</f>
        <v>30</v>
      </c>
      <c r="K59" s="1962">
        <f>(mo!J57+mo!J124)/1000</f>
        <v>53.628209999999996</v>
      </c>
      <c r="L59" s="1962">
        <f>(mo!K57+mo!K124)/1000</f>
        <v>53.628209999999996</v>
      </c>
    </row>
    <row r="60" spans="1:12" ht="12.75">
      <c r="A60" s="1927" t="s">
        <v>3110</v>
      </c>
      <c r="B60" s="1933" t="s">
        <v>3111</v>
      </c>
      <c r="C60" s="1962">
        <f>(mo!B59+mo!B127)/1000</f>
        <v>6</v>
      </c>
      <c r="D60" s="1962">
        <f>mo!C59</f>
        <v>0</v>
      </c>
      <c r="E60" s="1962">
        <f>mo!D59</f>
        <v>0</v>
      </c>
      <c r="F60" s="1962">
        <f>mo!E59</f>
        <v>0</v>
      </c>
      <c r="G60" s="1962">
        <f>mo!F59</f>
        <v>0</v>
      </c>
      <c r="H60" s="1962">
        <f>mo!G59</f>
        <v>0</v>
      </c>
      <c r="I60" s="1962">
        <f>mo!H59</f>
        <v>0</v>
      </c>
      <c r="J60" s="1962">
        <f>mo!I59</f>
        <v>0</v>
      </c>
      <c r="K60" s="1962">
        <f>mo!J59</f>
        <v>0</v>
      </c>
      <c r="L60" s="1962">
        <f>mo!K59</f>
        <v>0</v>
      </c>
    </row>
    <row r="61" spans="1:12" ht="12.75">
      <c r="A61" s="1927" t="s">
        <v>3112</v>
      </c>
      <c r="B61" s="1933" t="s">
        <v>3113</v>
      </c>
      <c r="C61" s="1962">
        <f>(mo!B65+mo!B128)/1000</f>
        <v>516.5</v>
      </c>
      <c r="D61" s="1962">
        <f>(mo!C65+mo!C128)/1000</f>
        <v>68.459999999999994</v>
      </c>
      <c r="E61" s="1962">
        <f>(mo!D65+mo!D128)/1000</f>
        <v>65.7</v>
      </c>
      <c r="F61" s="1962">
        <f>(mo!E65+mo!E128)/1000</f>
        <v>15.115</v>
      </c>
      <c r="G61" s="1962">
        <f>(mo!F65+mo!F128)/1000</f>
        <v>460.61</v>
      </c>
      <c r="H61" s="1962">
        <f>(mo!G65+mo!G128)/1000</f>
        <v>22.25</v>
      </c>
      <c r="I61" s="1962">
        <f>(mo!H65+mo!H128)/1000</f>
        <v>200.7</v>
      </c>
      <c r="J61" s="1962">
        <f>(mo!I65+mo!I128)/1000</f>
        <v>46.527999999999999</v>
      </c>
      <c r="K61" s="1962">
        <f>(mo!J65+mo!J128)/1000</f>
        <v>76.165000000000006</v>
      </c>
      <c r="L61" s="1962">
        <f>(mo!K65+mo!K128)/1000</f>
        <v>75.465000000000003</v>
      </c>
    </row>
    <row r="62" spans="1:12" ht="36">
      <c r="A62" s="1928" t="s">
        <v>3114</v>
      </c>
      <c r="B62" s="1934" t="s">
        <v>3115</v>
      </c>
      <c r="C62" s="1987"/>
      <c r="D62" s="1987"/>
      <c r="E62" s="1962"/>
      <c r="F62" s="1962"/>
      <c r="G62" s="1962"/>
      <c r="H62" s="1962"/>
      <c r="I62" s="1962"/>
      <c r="J62" s="1962"/>
      <c r="K62" s="1962"/>
      <c r="L62" s="1962"/>
    </row>
    <row r="63" spans="1:12" ht="12.75">
      <c r="A63" s="1927" t="s">
        <v>3116</v>
      </c>
      <c r="B63" s="1933" t="s">
        <v>3117</v>
      </c>
      <c r="C63" s="1962">
        <f>mo!B60/1000</f>
        <v>110</v>
      </c>
      <c r="D63" s="1962">
        <f>mo!C60/1000</f>
        <v>16.646000000000001</v>
      </c>
      <c r="E63" s="1962">
        <f>mo!D60/1000</f>
        <v>495.5</v>
      </c>
      <c r="F63" s="1962">
        <f>mo!E60/1000</f>
        <v>0.66947999999999996</v>
      </c>
      <c r="G63" s="1962">
        <f>mo!F60/1000</f>
        <v>120</v>
      </c>
      <c r="H63" s="1962">
        <f>mo!G60/1000</f>
        <v>0</v>
      </c>
      <c r="I63" s="1962">
        <f>mo!H60/1000</f>
        <v>42.4</v>
      </c>
      <c r="J63" s="1962">
        <f>mo!I60/1000</f>
        <v>26.296990000000001</v>
      </c>
      <c r="K63" s="1962">
        <f>mo!J60/1000</f>
        <v>0</v>
      </c>
      <c r="L63" s="1962">
        <f>mo!K60/1000</f>
        <v>0</v>
      </c>
    </row>
    <row r="64" spans="1:12" ht="12.75">
      <c r="A64" s="1927" t="s">
        <v>3118</v>
      </c>
      <c r="B64" s="1933" t="s">
        <v>3119</v>
      </c>
      <c r="C64" s="1962">
        <f>mo!B61/1000</f>
        <v>440</v>
      </c>
      <c r="D64" s="1962">
        <f>mo!C61/1000</f>
        <v>55.48</v>
      </c>
      <c r="E64" s="1962">
        <f>mo!D61/1000</f>
        <v>61.43</v>
      </c>
      <c r="F64" s="1962">
        <f>mo!E61/1000</f>
        <v>25.249599999999997</v>
      </c>
      <c r="G64" s="1962">
        <f>mo!F61/1000</f>
        <v>157</v>
      </c>
      <c r="H64" s="1962">
        <f>mo!G61/1000</f>
        <v>28.56</v>
      </c>
      <c r="I64" s="1962">
        <f>mo!H61/1000</f>
        <v>62.9</v>
      </c>
      <c r="J64" s="1962">
        <f>mo!I61/1000</f>
        <v>37.103869999999993</v>
      </c>
      <c r="K64" s="1962">
        <f>mo!J61/1000</f>
        <v>37.987499999999997</v>
      </c>
      <c r="L64" s="1962">
        <f>mo!K61/1000</f>
        <v>27.205189999999998</v>
      </c>
    </row>
    <row r="65" spans="1:12" ht="12.75">
      <c r="A65" s="1927" t="s">
        <v>3120</v>
      </c>
      <c r="B65" s="1933" t="s">
        <v>3121</v>
      </c>
      <c r="C65" s="1986"/>
      <c r="D65" s="1986"/>
      <c r="E65" s="1962"/>
      <c r="F65" s="1962"/>
      <c r="G65" s="1962"/>
      <c r="H65" s="1962"/>
      <c r="I65" s="1962"/>
      <c r="J65" s="1962"/>
      <c r="K65" s="1962"/>
      <c r="L65" s="1962"/>
    </row>
    <row r="66" spans="1:12" ht="12.75">
      <c r="A66" s="1927" t="s">
        <v>3122</v>
      </c>
      <c r="B66" s="1933" t="s">
        <v>3123</v>
      </c>
      <c r="C66" s="1986"/>
      <c r="D66" s="1986"/>
      <c r="E66" s="1962"/>
      <c r="F66" s="1962"/>
      <c r="G66" s="1962"/>
      <c r="H66" s="1962"/>
      <c r="I66" s="1962"/>
      <c r="J66" s="1962"/>
      <c r="K66" s="1962"/>
      <c r="L66" s="1962"/>
    </row>
    <row r="67" spans="1:12" ht="12.75">
      <c r="A67" s="1927" t="s">
        <v>3124</v>
      </c>
      <c r="B67" s="1933" t="s">
        <v>3125</v>
      </c>
      <c r="C67" s="1962">
        <f>(mo!B63-mo!B112)/1000</f>
        <v>2161.6</v>
      </c>
      <c r="D67" s="1962">
        <f>(mo!C63-mo!C112)/1000</f>
        <v>1296.2943599999999</v>
      </c>
      <c r="E67" s="1962">
        <f>(mo!D63-mo!D112)/1000</f>
        <v>41</v>
      </c>
      <c r="F67" s="1962">
        <f>(mo!E63-mo!E112)/1000</f>
        <v>2.2097600000000002</v>
      </c>
      <c r="G67" s="1962">
        <f>(mo!F63-mo!F112)/1000</f>
        <v>35.200000000000003</v>
      </c>
      <c r="H67" s="1962">
        <f>(mo!G63-mo!G112)/1000</f>
        <v>4.8779200000000005</v>
      </c>
      <c r="I67" s="1962">
        <f>(mo!H63-mo!H112)/1000</f>
        <v>15</v>
      </c>
      <c r="J67" s="1962">
        <f>(mo!I63-mo!I112)/1000</f>
        <v>2.105</v>
      </c>
      <c r="K67" s="1962">
        <f>(mo!J63-mo!J112)/1000</f>
        <v>23</v>
      </c>
      <c r="L67" s="1962">
        <f>(mo!K63-mo!K112)/1000</f>
        <v>1.46638</v>
      </c>
    </row>
    <row r="68" spans="1:12" ht="12.75">
      <c r="A68" s="1927" t="s">
        <v>3126</v>
      </c>
      <c r="B68" s="1933" t="s">
        <v>3127</v>
      </c>
      <c r="C68" s="1962">
        <f>(mo!B64+mo!B127)/1000</f>
        <v>86</v>
      </c>
      <c r="D68" s="1962">
        <f>(mo!C64+mo!C127)/1000</f>
        <v>0</v>
      </c>
      <c r="E68" s="1962">
        <f>mo!D64/1000</f>
        <v>497.67</v>
      </c>
      <c r="F68" s="1962">
        <f>mo!E64/1000</f>
        <v>9.2279999999999998</v>
      </c>
      <c r="G68" s="1962">
        <f>mo!F64/1000</f>
        <v>165</v>
      </c>
      <c r="H68" s="1962">
        <f>mo!G64/1000</f>
        <v>0</v>
      </c>
      <c r="I68" s="1962">
        <f>mo!H64/1000</f>
        <v>50</v>
      </c>
      <c r="J68" s="1962">
        <f>mo!I64/1000</f>
        <v>15.4</v>
      </c>
      <c r="K68" s="1962">
        <f>mo!J64/1000</f>
        <v>0</v>
      </c>
      <c r="L68" s="1962">
        <f>mo!K64/1000</f>
        <v>0</v>
      </c>
    </row>
    <row r="69" spans="1:12" ht="12" customHeight="1">
      <c r="A69" s="1927" t="s">
        <v>3128</v>
      </c>
      <c r="B69" s="1933" t="s">
        <v>3129</v>
      </c>
      <c r="C69" s="1986"/>
      <c r="D69" s="1986"/>
      <c r="E69" s="1962"/>
      <c r="F69" s="1962"/>
      <c r="G69" s="1962"/>
      <c r="H69" s="1962"/>
      <c r="I69" s="1962"/>
      <c r="J69" s="1962"/>
      <c r="K69" s="1962"/>
      <c r="L69" s="1962"/>
    </row>
    <row r="70" spans="1:12" ht="12" customHeight="1">
      <c r="A70" s="1927"/>
      <c r="B70" s="1933"/>
      <c r="C70" s="1986"/>
      <c r="D70" s="1986"/>
      <c r="E70" s="1962"/>
      <c r="F70" s="1962"/>
      <c r="G70" s="1962"/>
      <c r="H70" s="1962"/>
      <c r="I70" s="1962"/>
      <c r="J70" s="1962"/>
      <c r="K70" s="1962"/>
      <c r="L70" s="1962"/>
    </row>
    <row r="71" spans="1:12" ht="12" customHeight="1">
      <c r="A71" s="2760" t="s">
        <v>3014</v>
      </c>
      <c r="B71" s="2762" t="s">
        <v>2137</v>
      </c>
      <c r="C71" s="2764" t="s">
        <v>1280</v>
      </c>
      <c r="D71" s="2765"/>
      <c r="E71" s="2759" t="s">
        <v>1281</v>
      </c>
      <c r="F71" s="2759"/>
      <c r="G71" s="2759" t="s">
        <v>1282</v>
      </c>
      <c r="H71" s="2759"/>
      <c r="I71" s="2759" t="s">
        <v>3252</v>
      </c>
      <c r="J71" s="2759"/>
      <c r="K71" s="2759" t="s">
        <v>2983</v>
      </c>
      <c r="L71" s="2759"/>
    </row>
    <row r="72" spans="1:12" ht="12" customHeight="1">
      <c r="A72" s="2761"/>
      <c r="B72" s="2763"/>
      <c r="C72" s="2766"/>
      <c r="D72" s="2767"/>
      <c r="E72" s="2759"/>
      <c r="F72" s="2759"/>
      <c r="G72" s="2759"/>
      <c r="H72" s="2759"/>
      <c r="I72" s="2759"/>
      <c r="J72" s="2759"/>
      <c r="K72" s="2759"/>
      <c r="L72" s="2759"/>
    </row>
    <row r="73" spans="1:12" ht="12" customHeight="1">
      <c r="A73" s="2761"/>
      <c r="B73" s="2763"/>
      <c r="C73" s="2766"/>
      <c r="D73" s="2767"/>
      <c r="E73" s="2759"/>
      <c r="F73" s="2759"/>
      <c r="G73" s="2759"/>
      <c r="H73" s="2759"/>
      <c r="I73" s="2759"/>
      <c r="J73" s="2759"/>
      <c r="K73" s="2759"/>
      <c r="L73" s="2759"/>
    </row>
    <row r="74" spans="1:12" ht="12" customHeight="1">
      <c r="A74" s="2761"/>
      <c r="B74" s="2763"/>
      <c r="C74" s="2768"/>
      <c r="D74" s="2769"/>
      <c r="E74" s="2759"/>
      <c r="F74" s="2759"/>
      <c r="G74" s="2759"/>
      <c r="H74" s="2759"/>
      <c r="I74" s="2759"/>
      <c r="J74" s="2759"/>
      <c r="K74" s="2759"/>
      <c r="L74" s="2759"/>
    </row>
    <row r="75" spans="1:12" ht="12" customHeight="1">
      <c r="A75" s="1923" t="s">
        <v>3015</v>
      </c>
      <c r="B75" s="1930">
        <v>2</v>
      </c>
      <c r="C75" s="1988"/>
      <c r="D75" s="1988"/>
      <c r="E75" s="1936">
        <v>7</v>
      </c>
      <c r="F75" s="1936">
        <v>35</v>
      </c>
      <c r="G75" s="1936">
        <v>7</v>
      </c>
      <c r="H75" s="1936">
        <v>35</v>
      </c>
      <c r="I75" s="1936">
        <v>7</v>
      </c>
      <c r="J75" s="1936">
        <v>35</v>
      </c>
      <c r="K75" s="1936">
        <v>7</v>
      </c>
      <c r="L75" s="1936">
        <v>35</v>
      </c>
    </row>
    <row r="76" spans="1:12" ht="11.25" customHeight="1">
      <c r="A76" s="1951" t="s">
        <v>3130</v>
      </c>
      <c r="B76" s="1952" t="s">
        <v>3131</v>
      </c>
      <c r="C76" s="1972">
        <f>C77+C81+C82+C90+C91+C92+C93</f>
        <v>10922.5</v>
      </c>
      <c r="D76" s="1972">
        <f>D77+D81+D82+D90+D91+D92+D93</f>
        <v>870.26988000000006</v>
      </c>
      <c r="E76" s="1972">
        <f>E77+E81+E82+E90+E91+E92+E93</f>
        <v>4868.3999999999996</v>
      </c>
      <c r="F76" s="1972">
        <f t="shared" ref="F76:L76" si="10">F77+F81+F82+F90+F91+F92+F93</f>
        <v>458.25801000000001</v>
      </c>
      <c r="G76" s="1972">
        <f t="shared" si="10"/>
        <v>4714.1996499999996</v>
      </c>
      <c r="H76" s="1972">
        <f t="shared" si="10"/>
        <v>302.32424000000003</v>
      </c>
      <c r="I76" s="1972">
        <f t="shared" si="10"/>
        <v>3064.2</v>
      </c>
      <c r="J76" s="1972">
        <f t="shared" si="10"/>
        <v>318.64918</v>
      </c>
      <c r="K76" s="1972">
        <f t="shared" si="10"/>
        <v>4085.8</v>
      </c>
      <c r="L76" s="1972">
        <f t="shared" si="10"/>
        <v>287.55687999999998</v>
      </c>
    </row>
    <row r="77" spans="1:12" ht="11.25" customHeight="1">
      <c r="A77" s="1946" t="s">
        <v>3132</v>
      </c>
      <c r="B77" s="1950" t="s">
        <v>3133</v>
      </c>
      <c r="C77" s="1991"/>
      <c r="D77" s="1991"/>
      <c r="E77" s="1973"/>
      <c r="F77" s="1973"/>
      <c r="G77" s="1973"/>
      <c r="H77" s="1973"/>
      <c r="I77" s="1973"/>
      <c r="J77" s="1973"/>
      <c r="K77" s="1973"/>
      <c r="L77" s="1973"/>
    </row>
    <row r="78" spans="1:12" ht="11.25" customHeight="1">
      <c r="A78" s="1928" t="s">
        <v>3134</v>
      </c>
      <c r="B78" s="1933" t="s">
        <v>3135</v>
      </c>
      <c r="C78" s="1986"/>
      <c r="D78" s="1986"/>
      <c r="E78" s="1970"/>
      <c r="F78" s="1970"/>
      <c r="G78" s="1970"/>
      <c r="H78" s="1970"/>
      <c r="I78" s="1970"/>
      <c r="J78" s="1970"/>
      <c r="K78" s="1970"/>
      <c r="L78" s="1970"/>
    </row>
    <row r="79" spans="1:12" ht="11.25" customHeight="1">
      <c r="A79" s="1928" t="s">
        <v>3136</v>
      </c>
      <c r="B79" s="1933" t="s">
        <v>3137</v>
      </c>
      <c r="C79" s="1986"/>
      <c r="D79" s="1986"/>
      <c r="E79" s="1970"/>
      <c r="F79" s="1970"/>
      <c r="G79" s="1970"/>
      <c r="H79" s="1970"/>
      <c r="I79" s="1970"/>
      <c r="J79" s="1970"/>
      <c r="K79" s="1970"/>
      <c r="L79" s="1970"/>
    </row>
    <row r="80" spans="1:12" ht="12">
      <c r="A80" s="1928" t="s">
        <v>3138</v>
      </c>
      <c r="B80" s="1933" t="s">
        <v>3139</v>
      </c>
      <c r="C80" s="1986"/>
      <c r="D80" s="1986"/>
      <c r="E80" s="1970"/>
      <c r="F80" s="1970"/>
      <c r="G80" s="1970"/>
      <c r="H80" s="1970"/>
      <c r="I80" s="1970"/>
      <c r="J80" s="1970"/>
      <c r="K80" s="1970"/>
      <c r="L80" s="1970"/>
    </row>
    <row r="81" spans="1:12" ht="24">
      <c r="A81" s="1946" t="s">
        <v>3140</v>
      </c>
      <c r="B81" s="1947" t="s">
        <v>3093</v>
      </c>
      <c r="C81" s="1992"/>
      <c r="D81" s="1992"/>
      <c r="E81" s="1973"/>
      <c r="F81" s="1973"/>
      <c r="G81" s="1973"/>
      <c r="H81" s="1973"/>
      <c r="I81" s="1973"/>
      <c r="J81" s="1973"/>
      <c r="K81" s="1973"/>
      <c r="L81" s="1973"/>
    </row>
    <row r="82" spans="1:12" ht="24">
      <c r="A82" s="1946" t="s">
        <v>3141</v>
      </c>
      <c r="B82" s="1947" t="s">
        <v>3095</v>
      </c>
      <c r="C82" s="1973">
        <f>(mo!B173+mo!B190+mo!B199)/1000</f>
        <v>2885.3</v>
      </c>
      <c r="D82" s="1973">
        <f>(mo!C173+mo!C190+mo!C199)/1000</f>
        <v>47.616750000000003</v>
      </c>
      <c r="E82" s="1973">
        <f>(mo!D173+mo!D190+mo!D199)/1000</f>
        <v>0</v>
      </c>
      <c r="F82" s="1973">
        <f>(mo!E173+mo!E190+mo!E199)/1000</f>
        <v>0</v>
      </c>
      <c r="G82" s="1973">
        <f>(mo!F173+mo!F190+mo!F199)/1000</f>
        <v>0</v>
      </c>
      <c r="H82" s="1973">
        <f>(mo!G173+mo!G190+mo!G199)/1000</f>
        <v>0</v>
      </c>
      <c r="I82" s="1973">
        <f>(mo!H173+mo!H190+mo!H199)/1000</f>
        <v>115</v>
      </c>
      <c r="J82" s="1973">
        <f>(mo!I173+mo!I190+mo!I199)/1000</f>
        <v>0</v>
      </c>
      <c r="K82" s="1973">
        <f>(mo!J173+mo!J190+mo!J199)/1000</f>
        <v>0</v>
      </c>
      <c r="L82" s="1973">
        <f>(mo!K173+mo!K190+mo!K199)/1000</f>
        <v>0</v>
      </c>
    </row>
    <row r="83" spans="1:12" ht="36">
      <c r="A83" s="1946" t="s">
        <v>3142</v>
      </c>
      <c r="B83" s="1947" t="s">
        <v>3143</v>
      </c>
      <c r="C83" s="1992"/>
      <c r="D83" s="1992"/>
      <c r="E83" s="1973"/>
      <c r="F83" s="1973"/>
      <c r="G83" s="1973"/>
      <c r="H83" s="1973"/>
      <c r="I83" s="1973"/>
      <c r="J83" s="1973"/>
      <c r="K83" s="1973"/>
      <c r="L83" s="1973"/>
    </row>
    <row r="84" spans="1:12" ht="24">
      <c r="A84" s="1927" t="s">
        <v>3144</v>
      </c>
      <c r="B84" s="1933" t="s">
        <v>3145</v>
      </c>
      <c r="C84" s="1986"/>
      <c r="D84" s="1986"/>
      <c r="E84" s="1970"/>
      <c r="F84" s="1970"/>
      <c r="G84" s="1970"/>
      <c r="H84" s="1970"/>
      <c r="I84" s="1970"/>
      <c r="J84" s="1970"/>
      <c r="K84" s="1970"/>
      <c r="L84" s="1970"/>
    </row>
    <row r="85" spans="1:12" ht="24">
      <c r="A85" s="1928" t="s">
        <v>3146</v>
      </c>
      <c r="B85" s="1934" t="s">
        <v>3147</v>
      </c>
      <c r="C85" s="1987"/>
      <c r="D85" s="1987"/>
      <c r="E85" s="1970"/>
      <c r="F85" s="1970"/>
      <c r="G85" s="1970"/>
      <c r="H85" s="1970"/>
      <c r="I85" s="1970"/>
      <c r="J85" s="1970"/>
      <c r="K85" s="1970"/>
      <c r="L85" s="1970"/>
    </row>
    <row r="86" spans="1:12" ht="24">
      <c r="A86" s="1928" t="s">
        <v>3148</v>
      </c>
      <c r="B86" s="1934" t="s">
        <v>3149</v>
      </c>
      <c r="C86" s="1987"/>
      <c r="D86" s="1987"/>
      <c r="E86" s="1970"/>
      <c r="F86" s="1970"/>
      <c r="G86" s="1970"/>
      <c r="H86" s="1970"/>
      <c r="I86" s="1970"/>
      <c r="J86" s="1970"/>
      <c r="K86" s="1970"/>
      <c r="L86" s="1970"/>
    </row>
    <row r="87" spans="1:12" ht="12">
      <c r="A87" s="1928" t="s">
        <v>3150</v>
      </c>
      <c r="B87" s="1934" t="s">
        <v>3151</v>
      </c>
      <c r="C87" s="1987"/>
      <c r="D87" s="1987"/>
      <c r="E87" s="1970"/>
      <c r="F87" s="1970"/>
      <c r="G87" s="1970"/>
      <c r="H87" s="1970"/>
      <c r="I87" s="1970"/>
      <c r="J87" s="1970"/>
      <c r="K87" s="1970"/>
      <c r="L87" s="1970"/>
    </row>
    <row r="88" spans="1:12" ht="24">
      <c r="A88" s="1927" t="s">
        <v>3152</v>
      </c>
      <c r="B88" s="1933" t="s">
        <v>3153</v>
      </c>
      <c r="C88" s="1986"/>
      <c r="D88" s="1986"/>
      <c r="E88" s="1970"/>
      <c r="F88" s="1970"/>
      <c r="G88" s="1970"/>
      <c r="H88" s="1970"/>
      <c r="I88" s="1970"/>
      <c r="J88" s="1970"/>
      <c r="K88" s="1970"/>
      <c r="L88" s="1970"/>
    </row>
    <row r="89" spans="1:12" ht="12">
      <c r="A89" s="1927" t="s">
        <v>3154</v>
      </c>
      <c r="B89" s="1933" t="s">
        <v>3155</v>
      </c>
      <c r="C89" s="1986"/>
      <c r="D89" s="1986"/>
      <c r="E89" s="1970"/>
      <c r="F89" s="1970"/>
      <c r="G89" s="1970"/>
      <c r="H89" s="1970"/>
      <c r="I89" s="1970"/>
      <c r="J89" s="1970"/>
      <c r="K89" s="1970"/>
      <c r="L89" s="1970"/>
    </row>
    <row r="90" spans="1:12" ht="24">
      <c r="A90" s="1946" t="s">
        <v>3156</v>
      </c>
      <c r="B90" s="1947" t="s">
        <v>3157</v>
      </c>
      <c r="C90" s="1992"/>
      <c r="D90" s="1992"/>
      <c r="E90" s="1973"/>
      <c r="F90" s="1973"/>
      <c r="G90" s="1973"/>
      <c r="H90" s="1973"/>
      <c r="I90" s="1973"/>
      <c r="J90" s="1973"/>
      <c r="K90" s="1973"/>
      <c r="L90" s="1973"/>
    </row>
    <row r="91" spans="1:12" ht="36">
      <c r="A91" s="1946" t="s">
        <v>3158</v>
      </c>
      <c r="B91" s="1947" t="s">
        <v>3159</v>
      </c>
      <c r="C91" s="1992"/>
      <c r="D91" s="1992"/>
      <c r="E91" s="1973"/>
      <c r="F91" s="1973"/>
      <c r="G91" s="1973"/>
      <c r="H91" s="1973"/>
      <c r="I91" s="1973"/>
      <c r="J91" s="1973"/>
      <c r="K91" s="1973"/>
      <c r="L91" s="1973"/>
    </row>
    <row r="92" spans="1:12" ht="12">
      <c r="A92" s="1946" t="s">
        <v>3160</v>
      </c>
      <c r="B92" s="1947" t="s">
        <v>3103</v>
      </c>
      <c r="C92" s="1992"/>
      <c r="D92" s="1992"/>
      <c r="E92" s="1973"/>
      <c r="F92" s="1973"/>
      <c r="G92" s="1973"/>
      <c r="H92" s="1973"/>
      <c r="I92" s="1973"/>
      <c r="J92" s="1973"/>
      <c r="K92" s="1973"/>
      <c r="L92" s="1973"/>
    </row>
    <row r="93" spans="1:12" ht="12">
      <c r="A93" s="1946" t="s">
        <v>3161</v>
      </c>
      <c r="B93" s="1950" t="s">
        <v>3105</v>
      </c>
      <c r="C93" s="1967">
        <f>C94+C95+C96+C97+C100+C110+C114+C119+C120+C124+C126+C127</f>
        <v>8037.2</v>
      </c>
      <c r="D93" s="1967">
        <f>D94+D95+D96+D97+D100+D110+D114+D119+D120+D124+D126+D127</f>
        <v>822.65313000000003</v>
      </c>
      <c r="E93" s="1967">
        <f>E94+E95+E96+E97+E100+E110+E114+E119+E120+E124+E126+E127</f>
        <v>4868.3999999999996</v>
      </c>
      <c r="F93" s="1967">
        <f t="shared" ref="F93:L93" si="11">F94+F95+F96+F97+F100+F110+F114+F119+F120+F124+F126+F127</f>
        <v>458.25801000000001</v>
      </c>
      <c r="G93" s="1967">
        <f t="shared" si="11"/>
        <v>4714.1996499999996</v>
      </c>
      <c r="H93" s="1967">
        <f t="shared" si="11"/>
        <v>302.32424000000003</v>
      </c>
      <c r="I93" s="1967">
        <f t="shared" si="11"/>
        <v>2949.2</v>
      </c>
      <c r="J93" s="1967">
        <f t="shared" si="11"/>
        <v>318.64918</v>
      </c>
      <c r="K93" s="1967">
        <f t="shared" si="11"/>
        <v>4085.8</v>
      </c>
      <c r="L93" s="1967">
        <f t="shared" si="11"/>
        <v>287.55687999999998</v>
      </c>
    </row>
    <row r="94" spans="1:12" ht="12">
      <c r="A94" s="1927" t="s">
        <v>3162</v>
      </c>
      <c r="B94" s="1933" t="s">
        <v>3107</v>
      </c>
      <c r="C94" s="1986"/>
      <c r="D94" s="1986"/>
      <c r="E94" s="1970"/>
      <c r="F94" s="1970"/>
      <c r="G94" s="1970"/>
      <c r="H94" s="1970"/>
      <c r="I94" s="1970"/>
      <c r="J94" s="1970"/>
      <c r="K94" s="1970"/>
      <c r="L94" s="1970"/>
    </row>
    <row r="95" spans="1:12" ht="12">
      <c r="A95" s="1927" t="s">
        <v>3163</v>
      </c>
      <c r="B95" s="1933" t="s">
        <v>3109</v>
      </c>
      <c r="C95" s="1970">
        <f>(mo!B132+mo!B143+mo!B172+mo!B186+mo!B198+mo!B212+mo!B224+mo!B232)/1000</f>
        <v>525</v>
      </c>
      <c r="D95" s="1970">
        <f>(mo!C132+mo!C143+mo!C172+mo!C186+mo!C198+mo!C212+mo!C224+mo!C232)/1000</f>
        <v>185.77786</v>
      </c>
      <c r="E95" s="1970">
        <f>(mo!D132+mo!D143+mo!D172+mo!D186+mo!D198+mo!D212+mo!D224+mo!D232)/1000</f>
        <v>295</v>
      </c>
      <c r="F95" s="1970">
        <f>(mo!E132+mo!E143+mo!E172+mo!E186+mo!E198+mo!E212+mo!E224+mo!E232)/1000</f>
        <v>113.13186</v>
      </c>
      <c r="G95" s="1970">
        <f>(mo!F132+mo!F143+mo!F172+mo!F186+mo!F198+mo!F212+mo!F224+mo!F232)/1000</f>
        <v>215</v>
      </c>
      <c r="H95" s="1970">
        <f>(mo!G132+mo!G143+mo!G172+mo!G186+mo!G198+mo!G212+mo!G224+mo!G232)/1000</f>
        <v>104.70742</v>
      </c>
      <c r="I95" s="1970">
        <f>(mo!H132+mo!H143+mo!H172+mo!H186+mo!H198+mo!H212+mo!H224+mo!H232)/1000</f>
        <v>150</v>
      </c>
      <c r="J95" s="1970">
        <f>(mo!I132+mo!I143+mo!I172+mo!I186+mo!I198+mo!I212+mo!I224+mo!I232)/1000</f>
        <v>0</v>
      </c>
      <c r="K95" s="1970">
        <f>(mo!J132+mo!J143+mo!J172+mo!J186+mo!J198+mo!J212+mo!J224+mo!J232)/1000</f>
        <v>0</v>
      </c>
      <c r="L95" s="1970">
        <f>(mo!K132+mo!K143+mo!K172+mo!K186+mo!K198+mo!K212+mo!K224+mo!K232)/1000</f>
        <v>0</v>
      </c>
    </row>
    <row r="96" spans="1:12" ht="12">
      <c r="A96" s="1927" t="s">
        <v>3164</v>
      </c>
      <c r="B96" s="1933" t="s">
        <v>3111</v>
      </c>
      <c r="C96" s="1986"/>
      <c r="D96" s="1986"/>
      <c r="E96" s="1970"/>
      <c r="F96" s="1970"/>
      <c r="G96" s="1970"/>
      <c r="H96" s="1970"/>
      <c r="I96" s="1970"/>
      <c r="J96" s="1970"/>
      <c r="K96" s="1970"/>
      <c r="L96" s="1970"/>
    </row>
    <row r="97" spans="1:12" ht="12">
      <c r="A97" s="1927" t="s">
        <v>3165</v>
      </c>
      <c r="B97" s="1933" t="s">
        <v>3166</v>
      </c>
      <c r="C97" s="1970">
        <f>(mo!B135+mo!B147+mo!B152+mo!B156+mo!B180+mo!B192+mo!B204+mo!B216+mo!B228+mo!B237+mo!B139)/1000</f>
        <v>1970.5</v>
      </c>
      <c r="D97" s="1970">
        <f>(mo!C135+mo!C147+mo!C152+mo!C156+mo!C180+mo!C192+mo!C204+mo!C216+mo!C228+mo!C237+mo!C139)/1000</f>
        <v>78.433000000000007</v>
      </c>
      <c r="E97" s="1970">
        <f>(mo!D135+mo!D147+mo!D152+mo!D156+mo!D180+mo!D192+mo!D204+mo!D216+mo!D228+mo!D237+mo!D139)/1000</f>
        <v>250.5</v>
      </c>
      <c r="F97" s="1970">
        <f>(mo!E135+mo!E147+mo!E152+mo!E156+mo!E180+mo!E192+mo!E204+mo!E216+mo!E228+mo!E237+mo!E139)/1000</f>
        <v>1.7</v>
      </c>
      <c r="G97" s="1970">
        <f>(mo!F135+mo!F147+mo!F152+mo!F156+mo!F180+mo!F192+mo!F204+mo!F216+mo!F228+mo!F237+mo!F139)/1000</f>
        <v>1297</v>
      </c>
      <c r="H97" s="1970">
        <f>(mo!G135+mo!G147+mo!G152+mo!G156+mo!G180+mo!G192+mo!G204+mo!G216+mo!G228+mo!G237+mo!G139)/1000</f>
        <v>16.2</v>
      </c>
      <c r="I97" s="1970">
        <f>(mo!H135+mo!H147+mo!H152+mo!H156+mo!H180+mo!H192+mo!H204+mo!H216+mo!H228+mo!H237+mo!H139)/1000</f>
        <v>25</v>
      </c>
      <c r="J97" s="1970">
        <f>(mo!I135+mo!I147+mo!I152+mo!I156+mo!I180+mo!I192+mo!I204+mo!I216+mo!I228+mo!I237+mo!I139)/1000</f>
        <v>0</v>
      </c>
      <c r="K97" s="1970">
        <f>(mo!J135+mo!J147+mo!J152+mo!J156+mo!J180+mo!J192+mo!J204+mo!J216+mo!J228+mo!J237+mo!J139)/1000</f>
        <v>0</v>
      </c>
      <c r="L97" s="1970">
        <f>(mo!K135+mo!K147+mo!K152+mo!K156+mo!K180+mo!K192+mo!K204+mo!K216+mo!K228+mo!K237+mo!K139)/1000</f>
        <v>0</v>
      </c>
    </row>
    <row r="98" spans="1:12" ht="48">
      <c r="A98" s="1927" t="s">
        <v>3167</v>
      </c>
      <c r="B98" s="1934" t="s">
        <v>3168</v>
      </c>
      <c r="C98" s="1987"/>
      <c r="D98" s="1987"/>
      <c r="E98" s="1970"/>
      <c r="F98" s="1970"/>
      <c r="G98" s="1970"/>
      <c r="H98" s="1970"/>
      <c r="I98" s="1970"/>
      <c r="J98" s="1970"/>
      <c r="K98" s="1970"/>
      <c r="L98" s="1970"/>
    </row>
    <row r="99" spans="1:12" ht="36">
      <c r="A99" s="1927" t="s">
        <v>3169</v>
      </c>
      <c r="B99" s="1934" t="s">
        <v>3170</v>
      </c>
      <c r="C99" s="1987"/>
      <c r="D99" s="1987"/>
      <c r="E99" s="1970"/>
      <c r="F99" s="1974"/>
      <c r="G99" s="1970"/>
      <c r="H99" s="1970"/>
      <c r="I99" s="1970"/>
      <c r="J99" s="1970"/>
      <c r="K99" s="1970"/>
      <c r="L99" s="1970"/>
    </row>
    <row r="100" spans="1:12" ht="12">
      <c r="A100" s="1927" t="s">
        <v>3171</v>
      </c>
      <c r="B100" s="1933" t="s">
        <v>3172</v>
      </c>
      <c r="C100" s="1970">
        <f>(mo!B133+mo!B136+mo!B144+mo!B148+mo!B158+mo!B174+mo!B188+mo!B201)/1000</f>
        <v>3922.4</v>
      </c>
      <c r="D100" s="1970">
        <f>(mo!C133+mo!C136+mo!C144+mo!C148+mo!C158+mo!C174+mo!C188+mo!C201)/1000</f>
        <v>446.39427000000001</v>
      </c>
      <c r="E100" s="1970">
        <f>(mo!D133+mo!D136+mo!D144+mo!D148+mo!D158+mo!D174+mo!D188+mo!D201)/1000</f>
        <v>797.19222000000002</v>
      </c>
      <c r="F100" s="1970">
        <f>(mo!E133+mo!E136+mo!E144+mo!E148+mo!E158+mo!E174+mo!E188+mo!E201)/1000</f>
        <v>0</v>
      </c>
      <c r="G100" s="1970">
        <f>(mo!F133+mo!F136+mo!F144+mo!F148+mo!F158+mo!F174+mo!F188+mo!F201)/1000</f>
        <v>614.91742999999997</v>
      </c>
      <c r="H100" s="1970">
        <f>(mo!G133+mo!G136+mo!G144+mo!G148+mo!G158+mo!G174+mo!G188+mo!G201)/1000</f>
        <v>6.9906399999999991</v>
      </c>
      <c r="I100" s="1970">
        <f>(mo!H133+mo!H136+mo!H144+mo!H148+mo!H158+mo!H174+mo!H188+mo!H201)/1000</f>
        <v>1708.7</v>
      </c>
      <c r="J100" s="1970">
        <f>(mo!I133+mo!I136+mo!I144+mo!I148+mo!I158+mo!I174+mo!I188+mo!I201)/1000</f>
        <v>79.471000000000004</v>
      </c>
      <c r="K100" s="1970">
        <f>(mo!J133+mo!J136+mo!J144+mo!J148+mo!J158+mo!J174+mo!J188+mo!J201)/1000</f>
        <v>2232</v>
      </c>
      <c r="L100" s="1970">
        <f>(mo!K133+mo!K136+mo!K144+mo!K148+mo!K158+mo!K174+mo!K188+mo!K201)/1000</f>
        <v>0</v>
      </c>
    </row>
    <row r="101" spans="1:12" ht="12">
      <c r="A101" s="1927"/>
      <c r="B101" s="1933"/>
      <c r="C101" s="1986"/>
      <c r="D101" s="1986"/>
      <c r="E101" s="1970"/>
      <c r="F101" s="1970"/>
      <c r="G101" s="1970"/>
      <c r="H101" s="1970"/>
      <c r="I101" s="1970"/>
      <c r="J101" s="1970"/>
      <c r="K101" s="1970"/>
      <c r="L101" s="1970"/>
    </row>
    <row r="102" spans="1:12" ht="12">
      <c r="A102" s="1927"/>
      <c r="B102" s="1933"/>
      <c r="C102" s="1986"/>
      <c r="D102" s="1986"/>
      <c r="E102" s="1970"/>
      <c r="F102" s="1970"/>
      <c r="G102" s="1970"/>
      <c r="H102" s="1970"/>
      <c r="I102" s="1970"/>
      <c r="J102" s="1970"/>
      <c r="K102" s="1970"/>
      <c r="L102" s="1970"/>
    </row>
    <row r="103" spans="1:12" ht="11.25" customHeight="1">
      <c r="A103" s="1928" t="s">
        <v>3173</v>
      </c>
      <c r="B103" s="1934" t="s">
        <v>3174</v>
      </c>
      <c r="C103" s="1987"/>
      <c r="D103" s="1987"/>
      <c r="E103" s="1970"/>
      <c r="F103" s="1970"/>
      <c r="G103" s="1970"/>
      <c r="H103" s="1970"/>
      <c r="I103" s="1970"/>
      <c r="J103" s="1970"/>
      <c r="K103" s="1970"/>
      <c r="L103" s="1970"/>
    </row>
    <row r="104" spans="1:12" ht="11.25" customHeight="1">
      <c r="A104" s="1928"/>
      <c r="B104" s="1934"/>
      <c r="C104" s="1987"/>
      <c r="D104" s="1987"/>
      <c r="E104" s="1956"/>
      <c r="F104" s="1956"/>
      <c r="G104" s="1956"/>
      <c r="H104" s="1956"/>
      <c r="I104" s="1956"/>
      <c r="J104" s="1956"/>
      <c r="K104" s="1956"/>
      <c r="L104" s="1956"/>
    </row>
    <row r="105" spans="1:12" ht="11.25" customHeight="1">
      <c r="A105" s="2760" t="s">
        <v>3014</v>
      </c>
      <c r="B105" s="2762" t="s">
        <v>2137</v>
      </c>
      <c r="C105" s="2764" t="s">
        <v>1280</v>
      </c>
      <c r="D105" s="2765"/>
      <c r="E105" s="2759" t="s">
        <v>1281</v>
      </c>
      <c r="F105" s="2759"/>
      <c r="G105" s="2759" t="s">
        <v>1282</v>
      </c>
      <c r="H105" s="2759"/>
      <c r="I105" s="2759" t="s">
        <v>3252</v>
      </c>
      <c r="J105" s="2759"/>
      <c r="K105" s="2759" t="s">
        <v>2983</v>
      </c>
      <c r="L105" s="2759"/>
    </row>
    <row r="106" spans="1:12" ht="11.25" customHeight="1">
      <c r="A106" s="2761"/>
      <c r="B106" s="2763"/>
      <c r="C106" s="2766"/>
      <c r="D106" s="2767"/>
      <c r="E106" s="2759"/>
      <c r="F106" s="2759"/>
      <c r="G106" s="2759"/>
      <c r="H106" s="2759"/>
      <c r="I106" s="2759"/>
      <c r="J106" s="2759"/>
      <c r="K106" s="2759"/>
      <c r="L106" s="2759"/>
    </row>
    <row r="107" spans="1:12" ht="11.25" customHeight="1">
      <c r="A107" s="2761"/>
      <c r="B107" s="2763"/>
      <c r="C107" s="2766"/>
      <c r="D107" s="2767"/>
      <c r="E107" s="2759"/>
      <c r="F107" s="2759"/>
      <c r="G107" s="2759"/>
      <c r="H107" s="2759"/>
      <c r="I107" s="2759"/>
      <c r="J107" s="2759"/>
      <c r="K107" s="2759"/>
      <c r="L107" s="2759"/>
    </row>
    <row r="108" spans="1:12" ht="11.25" customHeight="1">
      <c r="A108" s="2761"/>
      <c r="B108" s="2763"/>
      <c r="C108" s="2768"/>
      <c r="D108" s="2769"/>
      <c r="E108" s="2759"/>
      <c r="F108" s="2759"/>
      <c r="G108" s="2759"/>
      <c r="H108" s="2759"/>
      <c r="I108" s="2759"/>
      <c r="J108" s="2759"/>
      <c r="K108" s="2759"/>
      <c r="L108" s="2759"/>
    </row>
    <row r="109" spans="1:12" ht="11.25" customHeight="1">
      <c r="A109" s="1923" t="s">
        <v>3015</v>
      </c>
      <c r="B109" s="1930">
        <v>2</v>
      </c>
      <c r="C109" s="1988"/>
      <c r="D109" s="1988"/>
      <c r="E109" s="1936">
        <v>7</v>
      </c>
      <c r="F109" s="1936">
        <v>35</v>
      </c>
      <c r="G109" s="1936">
        <v>7</v>
      </c>
      <c r="H109" s="1936">
        <v>35</v>
      </c>
      <c r="I109" s="1936">
        <v>7</v>
      </c>
      <c r="J109" s="1936">
        <v>35</v>
      </c>
      <c r="K109" s="1936">
        <v>7</v>
      </c>
      <c r="L109" s="1936">
        <v>35</v>
      </c>
    </row>
    <row r="110" spans="1:12" ht="11.25" customHeight="1">
      <c r="A110" s="1927" t="s">
        <v>3175</v>
      </c>
      <c r="B110" s="1933" t="s">
        <v>3176</v>
      </c>
      <c r="C110" s="1975">
        <f>(mo!B134+mo!B137+mo!B145+mo!B149+mo!B159+mo!B166+mo!B175+mo!B187+mo!B202+mo!B213+mo!B221+mo!B225+mo!B233+mo!B189)/1000</f>
        <v>615.5</v>
      </c>
      <c r="D110" s="1975">
        <f>(mo!C134+mo!C137+mo!C145+mo!C149+mo!C159+mo!C166+mo!C175+mo!C187+mo!C202+mo!C213+mo!C221+mo!C225+mo!C233+mo!C189)/1000</f>
        <v>72.248000000000005</v>
      </c>
      <c r="E110" s="1975">
        <f>(mo!D134+mo!D137+mo!D145+mo!D149+mo!D159+mo!D166+mo!D175+mo!D187+mo!D202+mo!D213+mo!D221+mo!D225+mo!D233+mo!D189)/1000</f>
        <v>881.1</v>
      </c>
      <c r="F110" s="1975">
        <f>(mo!E134+mo!E137+mo!E145+mo!E149+mo!E159+mo!E166+mo!E175+mo!E187+mo!E202+mo!E213+mo!E221+mo!E225+mo!E233+mo!E189)/1000</f>
        <v>31.9</v>
      </c>
      <c r="G110" s="1975">
        <f>(mo!F134+mo!F137+mo!F145+mo!F149+mo!F159+mo!F166+mo!F175+mo!F187+mo!F202+mo!F213+mo!F221+mo!F225+mo!F233+mo!F189)/1000</f>
        <v>251</v>
      </c>
      <c r="H110" s="1975">
        <f>(mo!G134+mo!G137+mo!G145+mo!G149+mo!G159+mo!G166+mo!G175+mo!G187+mo!G202+mo!G213+mo!G221+mo!G225+mo!G233+mo!G189)/1000</f>
        <v>39.193080000000002</v>
      </c>
      <c r="I110" s="1975">
        <f>(mo!H134+mo!H137+mo!H145+mo!H149+mo!H159+mo!H166+mo!H175+mo!H187+mo!H202+mo!H213+mo!H221+mo!H225+mo!H233+mo!H189)/1000</f>
        <v>146.30000000000001</v>
      </c>
      <c r="J110" s="1975">
        <f>(mo!I134+mo!I137+mo!I145+mo!I149+mo!I159+mo!I166+mo!I175+mo!I187+mo!I202+mo!I213+mo!I221+mo!I225+mo!I233+mo!I189)/1000</f>
        <v>0</v>
      </c>
      <c r="K110" s="1975">
        <f>(mo!J134+mo!J137+mo!J145+mo!J149+mo!J159+mo!J166+mo!J175+mo!J187+mo!J202+mo!J213+mo!J221+mo!J225+mo!J233+mo!J189)/1000</f>
        <v>200</v>
      </c>
      <c r="L110" s="1975">
        <f>(mo!K134+mo!K137+mo!K145+mo!K149+mo!K159+mo!K166+mo!K175+mo!K187+mo!K202+mo!K213+mo!K221+mo!K225+mo!K233+mo!K189)/1000</f>
        <v>0</v>
      </c>
    </row>
    <row r="111" spans="1:12" ht="11.25" customHeight="1">
      <c r="A111" s="1928" t="s">
        <v>3177</v>
      </c>
      <c r="B111" s="1934" t="s">
        <v>3174</v>
      </c>
      <c r="C111" s="1987"/>
      <c r="D111" s="1987"/>
      <c r="E111" s="1975"/>
      <c r="F111" s="1975"/>
      <c r="G111" s="1975"/>
      <c r="H111" s="1975"/>
      <c r="I111" s="1975"/>
      <c r="J111" s="1975"/>
      <c r="K111" s="1975"/>
      <c r="L111" s="1975"/>
    </row>
    <row r="112" spans="1:12" ht="11.25" customHeight="1">
      <c r="A112" s="1928" t="s">
        <v>3178</v>
      </c>
      <c r="B112" s="1934" t="s">
        <v>3179</v>
      </c>
      <c r="C112" s="1987"/>
      <c r="D112" s="1987"/>
      <c r="E112" s="1975"/>
      <c r="F112" s="1975"/>
      <c r="G112" s="1975"/>
      <c r="H112" s="1975"/>
      <c r="I112" s="1975"/>
      <c r="J112" s="1975"/>
      <c r="K112" s="1975"/>
      <c r="L112" s="1975"/>
    </row>
    <row r="113" spans="1:12" ht="12">
      <c r="A113" s="1928" t="s">
        <v>3180</v>
      </c>
      <c r="B113" s="1934" t="s">
        <v>3181</v>
      </c>
      <c r="C113" s="1987"/>
      <c r="D113" s="1987"/>
      <c r="E113" s="1975"/>
      <c r="F113" s="1975"/>
      <c r="G113" s="1975"/>
      <c r="H113" s="1975"/>
      <c r="I113" s="1975"/>
      <c r="J113" s="1975"/>
      <c r="K113" s="1975"/>
      <c r="L113" s="1975"/>
    </row>
    <row r="114" spans="1:12" ht="12">
      <c r="A114" s="1927" t="s">
        <v>3182</v>
      </c>
      <c r="B114" s="1933" t="s">
        <v>3183</v>
      </c>
      <c r="C114" s="1986"/>
      <c r="D114" s="1986"/>
      <c r="E114" s="1975"/>
      <c r="F114" s="1975"/>
      <c r="G114" s="1975"/>
      <c r="H114" s="1975"/>
      <c r="I114" s="1975"/>
      <c r="J114" s="1975"/>
      <c r="K114" s="1975"/>
      <c r="L114" s="1975"/>
    </row>
    <row r="115" spans="1:12" ht="60">
      <c r="A115" s="1928" t="s">
        <v>3184</v>
      </c>
      <c r="B115" s="1934" t="s">
        <v>3174</v>
      </c>
      <c r="C115" s="1987"/>
      <c r="D115" s="1987"/>
      <c r="E115" s="1975"/>
      <c r="F115" s="1975"/>
      <c r="G115" s="1975"/>
      <c r="H115" s="1975"/>
      <c r="I115" s="1975"/>
      <c r="J115" s="1975"/>
      <c r="K115" s="1975"/>
      <c r="L115" s="1975"/>
    </row>
    <row r="116" spans="1:12" ht="48">
      <c r="A116" s="1928" t="s">
        <v>3185</v>
      </c>
      <c r="B116" s="1934" t="s">
        <v>3168</v>
      </c>
      <c r="C116" s="1987"/>
      <c r="D116" s="1987"/>
      <c r="E116" s="1975"/>
      <c r="F116" s="1975"/>
      <c r="G116" s="1975"/>
      <c r="H116" s="1975"/>
      <c r="I116" s="1975"/>
      <c r="J116" s="1975"/>
      <c r="K116" s="1975"/>
      <c r="L116" s="1975"/>
    </row>
    <row r="117" spans="1:12" ht="36">
      <c r="A117" s="1928" t="s">
        <v>3186</v>
      </c>
      <c r="B117" s="1934" t="s">
        <v>3170</v>
      </c>
      <c r="C117" s="1987"/>
      <c r="D117" s="1987"/>
      <c r="E117" s="1975"/>
      <c r="F117" s="1975"/>
      <c r="G117" s="1975"/>
      <c r="H117" s="1975"/>
      <c r="I117" s="1975"/>
      <c r="J117" s="1975"/>
      <c r="K117" s="1975"/>
      <c r="L117" s="1975"/>
    </row>
    <row r="118" spans="1:12" ht="12">
      <c r="A118" s="1928" t="s">
        <v>3187</v>
      </c>
      <c r="B118" s="1934" t="s">
        <v>3181</v>
      </c>
      <c r="C118" s="1987"/>
      <c r="D118" s="1987"/>
      <c r="E118" s="1975"/>
      <c r="F118" s="1975"/>
      <c r="G118" s="1975"/>
      <c r="H118" s="1975"/>
      <c r="I118" s="1975"/>
      <c r="J118" s="1975"/>
      <c r="K118" s="1975"/>
      <c r="L118" s="1975"/>
    </row>
    <row r="119" spans="1:12" ht="12">
      <c r="A119" s="1927" t="s">
        <v>3188</v>
      </c>
      <c r="B119" s="1933" t="s">
        <v>3123</v>
      </c>
      <c r="C119" s="1975">
        <f>(mo!B160+mo!B167+mo!B176+mo!B194+mo!B205+mo!B206+mo!B217+mo!B236)/1000</f>
        <v>0</v>
      </c>
      <c r="D119" s="1975">
        <f>(mo!C160+mo!C167+mo!C176+mo!C194+mo!C205+mo!C206+mo!C217+mo!C236)/1000</f>
        <v>0</v>
      </c>
      <c r="E119" s="1975">
        <f>(mo!D160+mo!D167+mo!D176+mo!D194+mo!D205+mo!D206+mo!D217+mo!D236)/1000</f>
        <v>1248.9000000000001</v>
      </c>
      <c r="F119" s="1975">
        <f>(mo!E160+mo!E167+mo!E176+mo!E194+mo!E205+mo!E206+mo!E217+mo!E236)/1000</f>
        <v>71.302759999999992</v>
      </c>
      <c r="G119" s="1975">
        <f>(mo!F160+mo!F167+mo!F176+mo!F194+mo!F205+mo!F206+mo!F217+mo!F236)/1000</f>
        <v>383.59</v>
      </c>
      <c r="H119" s="1975">
        <f>(mo!G160+mo!G167+mo!G176+mo!G194+mo!G205+mo!G206+mo!G217+mo!G236)/1000</f>
        <v>8.3223599999999998</v>
      </c>
      <c r="I119" s="1975">
        <f>(mo!H160+mo!H167+mo!H176+mo!H194+mo!H205+mo!H206+mo!H217+mo!H236)/1000</f>
        <v>80</v>
      </c>
      <c r="J119" s="1975">
        <f>(mo!I160+mo!I167+mo!I176+mo!I194+mo!I205+mo!I206+mo!I217+mo!I236)/1000</f>
        <v>8.8810900000000004</v>
      </c>
      <c r="K119" s="1975">
        <f>(mo!J160+mo!J167+mo!J176+mo!J194+mo!J205+mo!J206+mo!J217+mo!J236)/1000</f>
        <v>0</v>
      </c>
      <c r="L119" s="1975">
        <f>(mo!K160+mo!K167+mo!K176+mo!K194+mo!K205+mo!K206+mo!K217+mo!K236)/1000</f>
        <v>0</v>
      </c>
    </row>
    <row r="120" spans="1:12" ht="12">
      <c r="A120" s="1927" t="s">
        <v>3189</v>
      </c>
      <c r="B120" s="1933" t="s">
        <v>3190</v>
      </c>
      <c r="C120" s="1975">
        <f>C121</f>
        <v>73</v>
      </c>
      <c r="D120" s="1975">
        <f t="shared" ref="D120:L120" si="12">D121</f>
        <v>0</v>
      </c>
      <c r="E120" s="1975">
        <f>E121</f>
        <v>740.70778000000007</v>
      </c>
      <c r="F120" s="1975">
        <f t="shared" si="12"/>
        <v>232.57339000000002</v>
      </c>
      <c r="G120" s="1975">
        <f t="shared" si="12"/>
        <v>1429.29222</v>
      </c>
      <c r="H120" s="1975">
        <f t="shared" si="12"/>
        <v>114.61074000000001</v>
      </c>
      <c r="I120" s="1975">
        <f t="shared" si="12"/>
        <v>784.2</v>
      </c>
      <c r="J120" s="1975">
        <f t="shared" si="12"/>
        <v>230.29709</v>
      </c>
      <c r="K120" s="1975">
        <f t="shared" si="12"/>
        <v>1653.8</v>
      </c>
      <c r="L120" s="1975">
        <f t="shared" si="12"/>
        <v>287.55687999999998</v>
      </c>
    </row>
    <row r="121" spans="1:12" ht="24">
      <c r="A121" s="1928" t="s">
        <v>3191</v>
      </c>
      <c r="B121" s="1934" t="s">
        <v>3192</v>
      </c>
      <c r="C121" s="1975">
        <f>mo!B241/1000</f>
        <v>73</v>
      </c>
      <c r="D121" s="1975">
        <f>mo!C241/1000</f>
        <v>0</v>
      </c>
      <c r="E121" s="1975">
        <f>mo!D241/1000</f>
        <v>740.70778000000007</v>
      </c>
      <c r="F121" s="1975">
        <f>mo!E241/1000</f>
        <v>232.57339000000002</v>
      </c>
      <c r="G121" s="1975">
        <f>mo!F241/1000</f>
        <v>1429.29222</v>
      </c>
      <c r="H121" s="1975">
        <f>mo!G241/1000</f>
        <v>114.61074000000001</v>
      </c>
      <c r="I121" s="1975">
        <f>mo!H241/1000</f>
        <v>784.2</v>
      </c>
      <c r="J121" s="1975">
        <f>mo!I241/1000</f>
        <v>230.29709</v>
      </c>
      <c r="K121" s="1975">
        <f>mo!J241/1000</f>
        <v>1653.8</v>
      </c>
      <c r="L121" s="1975">
        <f>mo!K241/1000</f>
        <v>287.55687999999998</v>
      </c>
    </row>
    <row r="122" spans="1:12" ht="24">
      <c r="A122" s="1928" t="s">
        <v>3193</v>
      </c>
      <c r="B122" s="1934" t="s">
        <v>3194</v>
      </c>
      <c r="C122" s="1987"/>
      <c r="D122" s="1987"/>
      <c r="E122" s="1975"/>
      <c r="F122" s="1975"/>
      <c r="G122" s="1975"/>
      <c r="H122" s="1975"/>
      <c r="I122" s="1975"/>
      <c r="J122" s="1975"/>
      <c r="K122" s="1975"/>
      <c r="L122" s="1975"/>
    </row>
    <row r="123" spans="1:12" ht="12">
      <c r="A123" s="1928" t="s">
        <v>3195</v>
      </c>
      <c r="B123" s="1934" t="s">
        <v>3129</v>
      </c>
      <c r="C123" s="1987"/>
      <c r="D123" s="1987"/>
      <c r="E123" s="1975"/>
      <c r="F123" s="1975"/>
      <c r="G123" s="1975"/>
      <c r="H123" s="1975"/>
      <c r="I123" s="1975"/>
      <c r="J123" s="1975"/>
      <c r="K123" s="1975"/>
      <c r="L123" s="1975"/>
    </row>
    <row r="124" spans="1:12" ht="12">
      <c r="A124" s="1929" t="s">
        <v>3196</v>
      </c>
      <c r="B124" s="1933" t="s">
        <v>3197</v>
      </c>
      <c r="C124" s="1975">
        <f>(mo!B150+mo!B177+mo!B179+mo!B214+mo!B226+mo!B234+mo!B112)/1000</f>
        <v>230.5</v>
      </c>
      <c r="D124" s="1975">
        <f>(mo!C150+mo!C177+mo!C179+mo!C214+mo!C226+mo!C234+mo!C112)/1000</f>
        <v>39.799999999999997</v>
      </c>
      <c r="E124" s="1975">
        <f>(mo!D150+mo!D177+mo!D179+mo!D214+mo!D226+mo!D234+mo!D112)/1000</f>
        <v>100</v>
      </c>
      <c r="F124" s="1975">
        <f>(mo!E150+mo!E177+mo!E179+mo!E214+mo!E226+mo!E234+mo!E112)/1000</f>
        <v>7.65</v>
      </c>
      <c r="G124" s="1975">
        <f>(mo!F150+mo!F177+mo!F179+mo!F214+mo!F226+mo!F234+mo!F112)/1000</f>
        <v>156</v>
      </c>
      <c r="H124" s="1975">
        <f>(mo!G150+mo!G177+mo!G179+mo!G214+mo!G226+mo!G234+mo!G112)/1000</f>
        <v>12.3</v>
      </c>
      <c r="I124" s="1975">
        <f>(mo!H150+mo!H177+mo!H179+mo!H214+mo!H226+mo!H234+mo!H112)/1000</f>
        <v>55</v>
      </c>
      <c r="J124" s="1975">
        <f>(mo!I150+mo!I177+mo!I179+mo!I214+mo!I226+mo!I234+mo!I112)/1000</f>
        <v>0</v>
      </c>
      <c r="K124" s="1975">
        <f>(mo!J150+mo!J177+mo!J179+mo!J214+mo!J226+mo!J234+mo!J112)/1000</f>
        <v>0</v>
      </c>
      <c r="L124" s="1975">
        <f>(mo!K150+mo!K177+mo!K179+mo!K214+mo!K226+mo!K234+mo!K112)/1000</f>
        <v>0</v>
      </c>
    </row>
    <row r="125" spans="1:12" ht="24">
      <c r="A125" s="1929" t="s">
        <v>3198</v>
      </c>
      <c r="B125" s="1933" t="s">
        <v>3199</v>
      </c>
      <c r="C125" s="1975">
        <f>mo!B112/1000</f>
        <v>0</v>
      </c>
      <c r="D125" s="1975">
        <f>mo!C112/1000</f>
        <v>0</v>
      </c>
      <c r="E125" s="1975">
        <f>mo!D112/1000</f>
        <v>0</v>
      </c>
      <c r="F125" s="1975">
        <f>mo!E112/1000</f>
        <v>0</v>
      </c>
      <c r="G125" s="1975">
        <f>mo!F112/1000</f>
        <v>0</v>
      </c>
      <c r="H125" s="1975">
        <f>mo!G112/1000</f>
        <v>0</v>
      </c>
      <c r="I125" s="1975">
        <f>mo!H112/1000</f>
        <v>0</v>
      </c>
      <c r="J125" s="1975">
        <f>mo!I112/1000</f>
        <v>0</v>
      </c>
      <c r="K125" s="1975">
        <f>mo!J112/1000</f>
        <v>0</v>
      </c>
      <c r="L125" s="1975">
        <f>mo!K112/1000</f>
        <v>0</v>
      </c>
    </row>
    <row r="126" spans="1:12" ht="12">
      <c r="A126" s="1929" t="s">
        <v>3200</v>
      </c>
      <c r="B126" s="1933" t="s">
        <v>3127</v>
      </c>
      <c r="C126" s="1975">
        <f>(mo!B138+mo!B146+mo!B151+mo!B178+mo!B191+mo!B203+mo!B215+mo!B227+mo!B235)/1000</f>
        <v>700.3</v>
      </c>
      <c r="D126" s="1975">
        <f>(mo!C138+mo!C146+mo!C151+mo!C178+mo!C191+mo!C203+mo!C215+mo!C227+mo!C235)/1000</f>
        <v>0</v>
      </c>
      <c r="E126" s="1975">
        <f>(mo!D138+mo!D146+mo!D151+mo!D178+mo!D191+mo!D203+mo!D215+mo!D227+mo!D235)/1000</f>
        <v>555</v>
      </c>
      <c r="F126" s="1975">
        <f>(mo!E138+mo!E146+mo!E151+mo!E178+mo!E191+mo!E203+mo!E215+mo!E227+mo!E235)/1000</f>
        <v>0</v>
      </c>
      <c r="G126" s="1975">
        <f>(mo!F138+mo!F146+mo!F151+mo!F178+mo!F191+mo!F203+mo!F215+mo!F227+mo!F235)/1000</f>
        <v>367.4</v>
      </c>
      <c r="H126" s="1975">
        <f>(mo!G138+mo!G146+mo!G151+mo!G178+mo!G191+mo!G203+mo!G215+mo!G227+mo!G235)/1000</f>
        <v>0</v>
      </c>
      <c r="I126" s="1975">
        <f>(mo!H138+mo!H146+mo!H151+mo!H178+mo!H191+mo!H203+mo!H215+mo!H227+mo!H235)/1000</f>
        <v>0</v>
      </c>
      <c r="J126" s="1975">
        <f>(mo!I138+mo!I146+mo!I151+mo!I178+mo!I191+mo!I203+mo!I215+mo!I227+mo!I235)/1000</f>
        <v>0</v>
      </c>
      <c r="K126" s="1975">
        <f>(mo!J138+mo!J146+mo!J151+mo!J178+mo!J191+mo!J203+mo!J215+mo!J227+mo!J235)/1000</f>
        <v>0</v>
      </c>
      <c r="L126" s="1975">
        <f>(mo!K138+mo!K146+mo!K151+mo!K178+mo!K191+mo!K203+mo!K215+mo!K227+mo!K235)/1000</f>
        <v>0</v>
      </c>
    </row>
    <row r="127" spans="1:12" ht="12">
      <c r="A127" s="1929" t="s">
        <v>3201</v>
      </c>
      <c r="B127" s="1934" t="s">
        <v>3202</v>
      </c>
      <c r="C127" s="1975">
        <f>(mo!B181+mo!B193)/1000</f>
        <v>0</v>
      </c>
      <c r="D127" s="1975">
        <f>(mo!C181+mo!C193)/1000</f>
        <v>0</v>
      </c>
      <c r="E127" s="1975">
        <f>(mo!D181+mo!D193)/1000</f>
        <v>0</v>
      </c>
      <c r="F127" s="1975">
        <f>(mo!E181+mo!E193)/1000</f>
        <v>0</v>
      </c>
      <c r="G127" s="1975">
        <f>(mo!F181+mo!F193)/1000</f>
        <v>0</v>
      </c>
      <c r="H127" s="1975">
        <f>(mo!G181+mo!G193)/1000</f>
        <v>0</v>
      </c>
      <c r="I127" s="1975">
        <f>(mo!H181+mo!H193)/1000</f>
        <v>0</v>
      </c>
      <c r="J127" s="1975">
        <f>(mo!I181+mo!I193)/1000</f>
        <v>0</v>
      </c>
      <c r="K127" s="1975">
        <f>(mo!J181+mo!J193)/1000</f>
        <v>0</v>
      </c>
      <c r="L127" s="1975">
        <f>(mo!K181+mo!K193)/1000</f>
        <v>0</v>
      </c>
    </row>
    <row r="128" spans="1:12" ht="12">
      <c r="A128" s="1953" t="s">
        <v>3203</v>
      </c>
      <c r="B128" s="1945" t="s">
        <v>3204</v>
      </c>
      <c r="C128" s="1976">
        <f>C6-C48</f>
        <v>-69.549999999995634</v>
      </c>
      <c r="D128" s="1976">
        <f t="shared" ref="D128:L128" si="13">D6-D48</f>
        <v>145.59177</v>
      </c>
      <c r="E128" s="1976">
        <f>E6-E48</f>
        <v>-418.20000000000073</v>
      </c>
      <c r="F128" s="1976">
        <f t="shared" si="13"/>
        <v>474.63418999999976</v>
      </c>
      <c r="G128" s="1976">
        <f t="shared" si="13"/>
        <v>0</v>
      </c>
      <c r="H128" s="1976">
        <f t="shared" si="13"/>
        <v>1003.7592100000002</v>
      </c>
      <c r="I128" s="1976">
        <f t="shared" si="13"/>
        <v>0</v>
      </c>
      <c r="J128" s="1976">
        <f t="shared" si="13"/>
        <v>263.14942000000019</v>
      </c>
      <c r="K128" s="1976">
        <f t="shared" si="13"/>
        <v>0</v>
      </c>
      <c r="L128" s="1976">
        <f t="shared" si="13"/>
        <v>720.84090000000015</v>
      </c>
    </row>
    <row r="129" spans="1:12" ht="36">
      <c r="A129" s="1953" t="s">
        <v>3205</v>
      </c>
      <c r="B129" s="1945" t="s">
        <v>3206</v>
      </c>
      <c r="C129" s="1976">
        <f>C147</f>
        <v>70.75</v>
      </c>
      <c r="D129" s="1976">
        <f t="shared" ref="D129:L129" si="14">D147</f>
        <v>-145.29176999999956</v>
      </c>
      <c r="E129" s="1976">
        <f>E147</f>
        <v>418.2</v>
      </c>
      <c r="F129" s="1976">
        <f t="shared" si="14"/>
        <v>-474.63418999999948</v>
      </c>
      <c r="G129" s="1976">
        <f t="shared" si="14"/>
        <v>0</v>
      </c>
      <c r="H129" s="1976">
        <f t="shared" si="14"/>
        <v>-1003.7592099999995</v>
      </c>
      <c r="I129" s="1976">
        <f t="shared" si="14"/>
        <v>0</v>
      </c>
      <c r="J129" s="1976">
        <f t="shared" si="14"/>
        <v>-263.14941999999991</v>
      </c>
      <c r="K129" s="1976">
        <f t="shared" si="14"/>
        <v>0</v>
      </c>
      <c r="L129" s="1976">
        <f t="shared" si="14"/>
        <v>-720.84090000000015</v>
      </c>
    </row>
    <row r="130" spans="1:12" ht="36">
      <c r="A130" s="1940" t="s">
        <v>3207</v>
      </c>
      <c r="B130" s="1941" t="s">
        <v>3208</v>
      </c>
      <c r="C130" s="1993"/>
      <c r="D130" s="1993"/>
      <c r="E130" s="1977"/>
      <c r="F130" s="1977"/>
      <c r="G130" s="1977"/>
      <c r="H130" s="1977"/>
      <c r="I130" s="1977"/>
      <c r="J130" s="1977"/>
      <c r="K130" s="1977"/>
      <c r="L130" s="1977"/>
    </row>
    <row r="131" spans="1:12" ht="12">
      <c r="A131" s="1927" t="s">
        <v>3209</v>
      </c>
      <c r="B131" s="1933" t="s">
        <v>3210</v>
      </c>
      <c r="C131" s="1986"/>
      <c r="D131" s="1986"/>
      <c r="E131" s="1978"/>
      <c r="F131" s="1978"/>
      <c r="G131" s="1978"/>
      <c r="H131" s="1978"/>
      <c r="I131" s="1978"/>
      <c r="J131" s="1978"/>
      <c r="K131" s="1978"/>
      <c r="L131" s="1978"/>
    </row>
    <row r="132" spans="1:12" ht="12">
      <c r="A132" s="1927" t="s">
        <v>3211</v>
      </c>
      <c r="B132" s="1933" t="s">
        <v>3212</v>
      </c>
      <c r="C132" s="1986"/>
      <c r="D132" s="1986"/>
      <c r="E132" s="1978"/>
      <c r="F132" s="1978"/>
      <c r="G132" s="1978"/>
      <c r="H132" s="1978"/>
      <c r="I132" s="1978"/>
      <c r="J132" s="1978"/>
      <c r="K132" s="1978"/>
      <c r="L132" s="1978"/>
    </row>
    <row r="133" spans="1:12" ht="24">
      <c r="A133" s="1940" t="s">
        <v>3213</v>
      </c>
      <c r="B133" s="1941" t="s">
        <v>3214</v>
      </c>
      <c r="C133" s="1993"/>
      <c r="D133" s="1993"/>
      <c r="E133" s="1979"/>
      <c r="F133" s="1979"/>
      <c r="G133" s="1979"/>
      <c r="H133" s="1979"/>
      <c r="I133" s="1979"/>
      <c r="J133" s="1979"/>
      <c r="K133" s="1979"/>
      <c r="L133" s="1979"/>
    </row>
    <row r="134" spans="1:12" ht="24">
      <c r="A134" s="1927" t="s">
        <v>3215</v>
      </c>
      <c r="B134" s="1933" t="s">
        <v>3216</v>
      </c>
      <c r="C134" s="1986"/>
      <c r="D134" s="1986"/>
      <c r="E134" s="1936"/>
      <c r="F134" s="1936"/>
      <c r="G134" s="1936"/>
      <c r="H134" s="1936"/>
      <c r="I134" s="1936"/>
      <c r="J134" s="1936"/>
      <c r="K134" s="1936"/>
      <c r="L134" s="1936"/>
    </row>
    <row r="135" spans="1:12" ht="24">
      <c r="A135" s="1927" t="s">
        <v>3217</v>
      </c>
      <c r="B135" s="1933" t="s">
        <v>3218</v>
      </c>
      <c r="C135" s="1986"/>
      <c r="D135" s="1986"/>
      <c r="E135" s="1936"/>
      <c r="F135" s="1936"/>
      <c r="G135" s="1936"/>
      <c r="H135" s="1936"/>
      <c r="I135" s="1936"/>
      <c r="J135" s="1936"/>
      <c r="K135" s="1936"/>
      <c r="L135" s="1936"/>
    </row>
    <row r="136" spans="1:12" ht="12" customHeight="1">
      <c r="A136" s="2760" t="s">
        <v>3014</v>
      </c>
      <c r="B136" s="2762" t="s">
        <v>2137</v>
      </c>
      <c r="C136" s="2764" t="s">
        <v>1280</v>
      </c>
      <c r="D136" s="2765"/>
      <c r="E136" s="2759" t="s">
        <v>1281</v>
      </c>
      <c r="F136" s="2759"/>
      <c r="G136" s="2759" t="s">
        <v>1282</v>
      </c>
      <c r="H136" s="2759"/>
      <c r="I136" s="2759" t="s">
        <v>3252</v>
      </c>
      <c r="J136" s="2759"/>
      <c r="K136" s="2759" t="s">
        <v>2983</v>
      </c>
      <c r="L136" s="2759"/>
    </row>
    <row r="137" spans="1:12" ht="12" customHeight="1">
      <c r="A137" s="2761"/>
      <c r="B137" s="2763"/>
      <c r="C137" s="2766"/>
      <c r="D137" s="2767"/>
      <c r="E137" s="2759"/>
      <c r="F137" s="2759"/>
      <c r="G137" s="2759"/>
      <c r="H137" s="2759"/>
      <c r="I137" s="2759"/>
      <c r="J137" s="2759"/>
      <c r="K137" s="2759"/>
      <c r="L137" s="2759"/>
    </row>
    <row r="138" spans="1:12" ht="12" customHeight="1">
      <c r="A138" s="2761"/>
      <c r="B138" s="2763"/>
      <c r="C138" s="2766"/>
      <c r="D138" s="2767"/>
      <c r="E138" s="2759"/>
      <c r="F138" s="2759"/>
      <c r="G138" s="2759"/>
      <c r="H138" s="2759"/>
      <c r="I138" s="2759"/>
      <c r="J138" s="2759"/>
      <c r="K138" s="2759"/>
      <c r="L138" s="2759"/>
    </row>
    <row r="139" spans="1:12" ht="12" customHeight="1">
      <c r="A139" s="2761"/>
      <c r="B139" s="2763"/>
      <c r="C139" s="2768"/>
      <c r="D139" s="2769"/>
      <c r="E139" s="2759"/>
      <c r="F139" s="2759"/>
      <c r="G139" s="2759"/>
      <c r="H139" s="2759"/>
      <c r="I139" s="2759"/>
      <c r="J139" s="2759"/>
      <c r="K139" s="2759"/>
      <c r="L139" s="2759"/>
    </row>
    <row r="140" spans="1:12" ht="12">
      <c r="A140" s="1923" t="s">
        <v>3015</v>
      </c>
      <c r="B140" s="1930">
        <v>2</v>
      </c>
      <c r="C140" s="1988"/>
      <c r="D140" s="1988"/>
      <c r="E140" s="1936">
        <v>7</v>
      </c>
      <c r="F140" s="1936">
        <v>35</v>
      </c>
      <c r="G140" s="1936">
        <v>7</v>
      </c>
      <c r="H140" s="1936">
        <v>35</v>
      </c>
      <c r="I140" s="1936">
        <v>7</v>
      </c>
      <c r="J140" s="1936">
        <v>35</v>
      </c>
      <c r="K140" s="1936">
        <v>7</v>
      </c>
      <c r="L140" s="1936">
        <v>35</v>
      </c>
    </row>
    <row r="141" spans="1:12" ht="12" customHeight="1">
      <c r="A141" s="1940" t="s">
        <v>3219</v>
      </c>
      <c r="B141" s="1941" t="s">
        <v>3220</v>
      </c>
      <c r="C141" s="1993"/>
      <c r="D141" s="1993"/>
      <c r="E141" s="1960"/>
      <c r="F141" s="1960"/>
      <c r="G141" s="1960"/>
      <c r="H141" s="1960"/>
      <c r="I141" s="1960"/>
      <c r="J141" s="1960"/>
      <c r="K141" s="1960"/>
      <c r="L141" s="1960"/>
    </row>
    <row r="142" spans="1:12" ht="12" customHeight="1">
      <c r="A142" s="1927" t="s">
        <v>3221</v>
      </c>
      <c r="B142" s="1933" t="s">
        <v>3222</v>
      </c>
      <c r="C142" s="1986"/>
      <c r="D142" s="1986"/>
      <c r="E142" s="1936"/>
      <c r="F142" s="1936"/>
      <c r="G142" s="1936"/>
      <c r="H142" s="1936"/>
      <c r="I142" s="1936"/>
      <c r="J142" s="1936"/>
      <c r="K142" s="1936"/>
      <c r="L142" s="1936"/>
    </row>
    <row r="143" spans="1:12" ht="12" customHeight="1">
      <c r="A143" s="1927" t="s">
        <v>3223</v>
      </c>
      <c r="B143" s="1933" t="s">
        <v>3224</v>
      </c>
      <c r="C143" s="1986"/>
      <c r="D143" s="1986"/>
      <c r="E143" s="1936"/>
      <c r="F143" s="1936"/>
      <c r="G143" s="1936"/>
      <c r="H143" s="1936"/>
      <c r="I143" s="1936"/>
      <c r="J143" s="1936"/>
      <c r="K143" s="1936"/>
      <c r="L143" s="1936"/>
    </row>
    <row r="144" spans="1:12" ht="12" customHeight="1">
      <c r="A144" s="1940" t="s">
        <v>3225</v>
      </c>
      <c r="B144" s="1941" t="s">
        <v>3226</v>
      </c>
      <c r="C144" s="1993"/>
      <c r="D144" s="1993"/>
      <c r="E144" s="1960"/>
      <c r="F144" s="1960"/>
      <c r="G144" s="1960"/>
      <c r="H144" s="1960"/>
      <c r="I144" s="1960"/>
      <c r="J144" s="1960"/>
      <c r="K144" s="1960"/>
      <c r="L144" s="1960"/>
    </row>
    <row r="145" spans="1:12" ht="12">
      <c r="A145" s="1927" t="s">
        <v>3227</v>
      </c>
      <c r="B145" s="1933" t="s">
        <v>3228</v>
      </c>
      <c r="C145" s="1986"/>
      <c r="D145" s="1986"/>
      <c r="E145" s="1936"/>
      <c r="F145" s="1936"/>
      <c r="G145" s="1936"/>
      <c r="H145" s="1936"/>
      <c r="I145" s="1936"/>
      <c r="J145" s="1936"/>
      <c r="K145" s="1936"/>
      <c r="L145" s="1936"/>
    </row>
    <row r="146" spans="1:12" ht="12">
      <c r="A146" s="1927" t="s">
        <v>3229</v>
      </c>
      <c r="B146" s="1933" t="s">
        <v>3230</v>
      </c>
      <c r="C146" s="1986"/>
      <c r="D146" s="1986"/>
      <c r="E146" s="1936"/>
      <c r="F146" s="1936"/>
      <c r="G146" s="1936"/>
      <c r="H146" s="1936"/>
      <c r="I146" s="1936"/>
      <c r="J146" s="1936"/>
      <c r="K146" s="1936"/>
      <c r="L146" s="1936"/>
    </row>
    <row r="147" spans="1:12" ht="24">
      <c r="A147" s="1940" t="s">
        <v>3231</v>
      </c>
      <c r="B147" s="1941" t="s">
        <v>3232</v>
      </c>
      <c r="C147" s="1968">
        <f>mo!B255/1000</f>
        <v>70.75</v>
      </c>
      <c r="D147" s="1968">
        <f>mo!C255/1000</f>
        <v>-145.29176999999956</v>
      </c>
      <c r="E147" s="1968">
        <f>mo!D255/1000</f>
        <v>418.2</v>
      </c>
      <c r="F147" s="1968">
        <f>mo!E255/1000</f>
        <v>-474.63418999999948</v>
      </c>
      <c r="G147" s="1968">
        <f>mo!F255/1000</f>
        <v>0</v>
      </c>
      <c r="H147" s="1968">
        <f>mo!G255/1000</f>
        <v>-1003.7592099999995</v>
      </c>
      <c r="I147" s="1968">
        <f>mo!H255/1000</f>
        <v>0</v>
      </c>
      <c r="J147" s="1968">
        <f>mo!I255/1000</f>
        <v>-263.14941999999991</v>
      </c>
      <c r="K147" s="1968">
        <f>mo!J255/1000</f>
        <v>0</v>
      </c>
      <c r="L147" s="1968">
        <f>mo!K255/1000</f>
        <v>-720.84090000000015</v>
      </c>
    </row>
    <row r="148" spans="1:12" ht="12">
      <c r="A148" s="1954" t="s">
        <v>3233</v>
      </c>
      <c r="B148" s="1955" t="s">
        <v>3234</v>
      </c>
      <c r="C148" s="1994"/>
      <c r="D148" s="1967">
        <f>mo!C263/1000</f>
        <v>558.82902000000001</v>
      </c>
      <c r="E148" s="1967"/>
      <c r="F148" s="1967">
        <f>mo!E263/1000</f>
        <v>895.05704000000003</v>
      </c>
      <c r="G148" s="1967"/>
      <c r="H148" s="1967">
        <f>mo!G263/1000</f>
        <v>1065.40047</v>
      </c>
      <c r="I148" s="1967"/>
      <c r="J148" s="1967">
        <f>mo!I263/1000</f>
        <v>1876.2836299999999</v>
      </c>
      <c r="K148" s="1967"/>
      <c r="L148" s="1967">
        <f>mo!K263/1000</f>
        <v>834.1811899999999</v>
      </c>
    </row>
    <row r="149" spans="1:12" ht="12">
      <c r="A149" s="1927" t="s">
        <v>3235</v>
      </c>
      <c r="B149" s="1933" t="s">
        <v>3236</v>
      </c>
      <c r="C149" s="1986"/>
      <c r="D149" s="1986"/>
      <c r="E149" s="1980"/>
      <c r="F149" s="1980"/>
      <c r="G149" s="1980"/>
      <c r="H149" s="1980"/>
      <c r="I149" s="1980"/>
      <c r="J149" s="1980"/>
      <c r="K149" s="1980"/>
      <c r="L149" s="1980"/>
    </row>
    <row r="150" spans="1:12" ht="36">
      <c r="A150" s="1928" t="s">
        <v>3237</v>
      </c>
      <c r="B150" s="1934" t="s">
        <v>3238</v>
      </c>
      <c r="C150" s="1987"/>
      <c r="D150" s="1987"/>
      <c r="E150" s="1980"/>
      <c r="F150" s="1980"/>
      <c r="G150" s="1980"/>
      <c r="H150" s="1980"/>
      <c r="I150" s="1980"/>
      <c r="J150" s="1980"/>
      <c r="K150" s="1980"/>
      <c r="L150" s="1980"/>
    </row>
    <row r="151" spans="1:12" ht="12">
      <c r="A151" s="1928" t="s">
        <v>3239</v>
      </c>
      <c r="B151" s="1934" t="s">
        <v>3240</v>
      </c>
      <c r="C151" s="1987"/>
      <c r="D151" s="1987"/>
      <c r="E151" s="12"/>
      <c r="F151" s="12"/>
      <c r="G151" s="12"/>
      <c r="H151" s="12"/>
      <c r="I151" s="12"/>
      <c r="J151" s="12"/>
      <c r="K151" s="12"/>
      <c r="L151" s="12"/>
    </row>
    <row r="152" spans="1:12" ht="12">
      <c r="A152" s="1927" t="s">
        <v>3241</v>
      </c>
      <c r="B152" s="1933" t="s">
        <v>3242</v>
      </c>
      <c r="C152" s="1986"/>
      <c r="D152" s="1986"/>
      <c r="E152" s="12"/>
      <c r="F152" s="12"/>
      <c r="G152" s="12"/>
      <c r="H152" s="12"/>
      <c r="I152" s="12"/>
      <c r="J152" s="12"/>
      <c r="K152" s="12"/>
      <c r="L152" s="12"/>
    </row>
    <row r="153" spans="1:12" ht="12">
      <c r="A153" s="1927" t="s">
        <v>3243</v>
      </c>
      <c r="B153" s="1933" t="s">
        <v>3244</v>
      </c>
      <c r="C153" s="1986"/>
      <c r="D153" s="1986"/>
      <c r="E153" s="12"/>
      <c r="F153" s="12"/>
      <c r="G153" s="12"/>
      <c r="H153" s="12"/>
      <c r="I153" s="12"/>
      <c r="J153" s="12"/>
      <c r="K153" s="12"/>
      <c r="L153" s="12"/>
    </row>
    <row r="154" spans="1:12" ht="48">
      <c r="A154" s="1954" t="s">
        <v>3245</v>
      </c>
      <c r="B154" s="1955" t="s">
        <v>3246</v>
      </c>
      <c r="C154" s="1994"/>
      <c r="D154" s="1994"/>
      <c r="E154" s="1937"/>
      <c r="F154" s="1937"/>
      <c r="G154" s="1937"/>
      <c r="H154" s="1937">
        <v>13</v>
      </c>
      <c r="I154" s="1937"/>
      <c r="J154" s="1937"/>
      <c r="K154" s="1937"/>
      <c r="L154" s="1937"/>
    </row>
    <row r="155" spans="1:12" ht="24">
      <c r="A155" s="1927" t="s">
        <v>3247</v>
      </c>
      <c r="B155" s="1933" t="s">
        <v>3153</v>
      </c>
      <c r="C155" s="1986"/>
      <c r="D155" s="1986"/>
      <c r="E155" s="12"/>
      <c r="F155" s="12"/>
      <c r="G155" s="12"/>
      <c r="H155" s="12"/>
      <c r="I155" s="12"/>
      <c r="J155" s="12"/>
      <c r="K155" s="12"/>
      <c r="L155" s="12"/>
    </row>
    <row r="156" spans="1:12" ht="12">
      <c r="A156" s="1927" t="s">
        <v>3248</v>
      </c>
      <c r="B156" s="1933" t="s">
        <v>3249</v>
      </c>
      <c r="C156" s="1985"/>
      <c r="D156" s="1985"/>
      <c r="E156" s="12"/>
      <c r="F156" s="12"/>
      <c r="G156" s="12"/>
      <c r="H156" s="12"/>
      <c r="I156" s="12"/>
      <c r="J156" s="12"/>
      <c r="K156" s="12"/>
      <c r="L156" s="12"/>
    </row>
    <row r="157" spans="1:12" ht="36">
      <c r="A157" s="1954" t="s">
        <v>3250</v>
      </c>
      <c r="B157" s="1955" t="s">
        <v>3251</v>
      </c>
      <c r="C157" s="1994"/>
      <c r="D157" s="1994"/>
      <c r="E157" s="1937"/>
      <c r="F157" s="1937"/>
      <c r="G157" s="1937"/>
      <c r="H157" s="1937"/>
      <c r="I157" s="1937"/>
      <c r="J157" s="1937"/>
      <c r="K157" s="1937"/>
      <c r="L157" s="1937"/>
    </row>
  </sheetData>
  <mergeCells count="35">
    <mergeCell ref="A136:A139"/>
    <mergeCell ref="E136:F139"/>
    <mergeCell ref="G136:H139"/>
    <mergeCell ref="I136:J139"/>
    <mergeCell ref="K136:L139"/>
    <mergeCell ref="B136:B139"/>
    <mergeCell ref="C136:D139"/>
    <mergeCell ref="K105:L108"/>
    <mergeCell ref="A71:A74"/>
    <mergeCell ref="B71:B74"/>
    <mergeCell ref="E71:F74"/>
    <mergeCell ref="G71:H74"/>
    <mergeCell ref="I71:J74"/>
    <mergeCell ref="K71:L74"/>
    <mergeCell ref="A105:A108"/>
    <mergeCell ref="B105:B108"/>
    <mergeCell ref="E105:F108"/>
    <mergeCell ref="G105:H108"/>
    <mergeCell ref="I105:J108"/>
    <mergeCell ref="C71:D74"/>
    <mergeCell ref="C105:D108"/>
    <mergeCell ref="K37:L40"/>
    <mergeCell ref="A37:A40"/>
    <mergeCell ref="B37:B40"/>
    <mergeCell ref="E37:F40"/>
    <mergeCell ref="G37:H40"/>
    <mergeCell ref="I37:J40"/>
    <mergeCell ref="C37:D40"/>
    <mergeCell ref="K1:L4"/>
    <mergeCell ref="A1:A4"/>
    <mergeCell ref="B1:B4"/>
    <mergeCell ref="E1:F4"/>
    <mergeCell ref="G1:H4"/>
    <mergeCell ref="I1:J4"/>
    <mergeCell ref="C1:D4"/>
  </mergeCells>
  <pageMargins left="0.70866141732283472" right="0.70866141732283472" top="0.55118110236220474"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Лист3">
    <pageSetUpPr fitToPage="1"/>
  </sheetPr>
  <dimension ref="A2:U679"/>
  <sheetViews>
    <sheetView tabSelected="1" topLeftCell="A632" zoomScale="68" zoomScaleNormal="68" workbookViewId="0">
      <selection activeCell="D678" sqref="D678"/>
    </sheetView>
  </sheetViews>
  <sheetFormatPr defaultRowHeight="11.25"/>
  <cols>
    <col min="1" max="1" width="54.83203125" style="2" customWidth="1"/>
    <col min="2" max="2" width="36.5" style="2" customWidth="1"/>
    <col min="3" max="3" width="24" style="2" customWidth="1"/>
    <col min="4" max="4" width="24.83203125" style="3" customWidth="1"/>
    <col min="5" max="5" width="23.6640625" style="3" customWidth="1"/>
    <col min="6" max="6" width="26" style="3" customWidth="1"/>
    <col min="7" max="7" width="29.83203125" style="3" customWidth="1"/>
    <col min="8" max="8" width="23.83203125" customWidth="1"/>
    <col min="9" max="9" width="24.5" customWidth="1"/>
    <col min="12" max="15" width="9.5" bestFit="1" customWidth="1"/>
    <col min="16" max="16" width="10.1640625" bestFit="1" customWidth="1"/>
    <col min="17" max="17" width="10.1640625" customWidth="1"/>
    <col min="18" max="18" width="10.1640625" bestFit="1" customWidth="1"/>
    <col min="61" max="61" width="29" customWidth="1"/>
  </cols>
  <sheetData>
    <row r="2" spans="1:8" ht="18">
      <c r="G2" s="2771" t="s">
        <v>3458</v>
      </c>
    </row>
    <row r="3" spans="1:8" ht="15.75">
      <c r="G3" s="2770" t="s">
        <v>3459</v>
      </c>
    </row>
    <row r="4" spans="1:8" ht="15.75">
      <c r="G4" s="2772"/>
      <c r="H4" s="2773" t="s">
        <v>3460</v>
      </c>
    </row>
    <row r="5" spans="1:8" ht="15">
      <c r="H5" s="257" t="s">
        <v>3461</v>
      </c>
    </row>
    <row r="6" spans="1:8" ht="12" thickBot="1"/>
    <row r="7" spans="1:8" s="1" customFormat="1" ht="19.5" customHeight="1">
      <c r="A7" s="2655" t="s">
        <v>984</v>
      </c>
      <c r="B7" s="2655"/>
      <c r="C7" s="2655"/>
      <c r="D7" s="2655"/>
      <c r="E7" s="2655"/>
      <c r="F7" s="2655"/>
      <c r="G7" s="2656"/>
      <c r="H7" s="66" t="s">
        <v>977</v>
      </c>
    </row>
    <row r="8" spans="1:8" s="1" customFormat="1" ht="12.75">
      <c r="A8" s="2665" t="s">
        <v>3455</v>
      </c>
      <c r="B8" s="2665"/>
      <c r="C8" s="2665"/>
      <c r="D8" s="2665"/>
      <c r="E8" s="2665"/>
      <c r="F8" s="2666" t="s">
        <v>979</v>
      </c>
      <c r="G8" s="2667"/>
      <c r="H8" s="67" t="s">
        <v>978</v>
      </c>
    </row>
    <row r="9" spans="1:8" s="1" customFormat="1" ht="12.75">
      <c r="A9" s="4" t="s">
        <v>986</v>
      </c>
      <c r="B9"/>
      <c r="C9"/>
      <c r="D9"/>
      <c r="E9"/>
      <c r="F9"/>
      <c r="G9" s="71" t="s">
        <v>987</v>
      </c>
      <c r="H9" s="68">
        <v>39609</v>
      </c>
    </row>
    <row r="10" spans="1:8" ht="15">
      <c r="A10" s="5" t="s">
        <v>975</v>
      </c>
      <c r="B10" s="77" t="s">
        <v>772</v>
      </c>
      <c r="C10" s="5"/>
      <c r="D10" s="6"/>
      <c r="E10" s="6"/>
      <c r="F10" s="6"/>
      <c r="G10" s="6"/>
      <c r="H10" s="69"/>
    </row>
    <row r="11" spans="1:8" ht="12.75">
      <c r="A11" s="2657" t="s">
        <v>985</v>
      </c>
      <c r="B11" s="2657"/>
      <c r="C11" s="2657"/>
      <c r="D11" s="2657"/>
      <c r="E11" s="2657"/>
      <c r="F11" s="2657"/>
      <c r="G11" s="2657"/>
      <c r="H11" s="69"/>
    </row>
    <row r="12" spans="1:8" ht="12.75">
      <c r="A12" s="5" t="s">
        <v>980</v>
      </c>
      <c r="B12" s="5"/>
      <c r="C12"/>
      <c r="D12" t="s">
        <v>72</v>
      </c>
      <c r="E12"/>
      <c r="F12"/>
      <c r="G12" s="71" t="s">
        <v>981</v>
      </c>
      <c r="H12" s="69"/>
    </row>
    <row r="13" spans="1:8" ht="13.5" thickBot="1">
      <c r="A13" s="5" t="s">
        <v>976</v>
      </c>
      <c r="B13" s="5"/>
      <c r="C13"/>
      <c r="D13"/>
      <c r="E13"/>
      <c r="F13"/>
      <c r="G13" s="71" t="s">
        <v>982</v>
      </c>
      <c r="H13" s="70">
        <v>383</v>
      </c>
    </row>
    <row r="14" spans="1:8" ht="12.75" customHeight="1">
      <c r="A14" s="2658" t="s">
        <v>74</v>
      </c>
      <c r="B14" s="2660" t="s">
        <v>216</v>
      </c>
      <c r="C14" s="2662" t="s">
        <v>2043</v>
      </c>
      <c r="D14" s="2663"/>
      <c r="E14" s="2664"/>
      <c r="F14" s="2662" t="s">
        <v>1016</v>
      </c>
      <c r="G14" s="2663"/>
      <c r="H14" s="2664"/>
    </row>
    <row r="15" spans="1:8" ht="58.5" customHeight="1">
      <c r="A15" s="2659"/>
      <c r="B15" s="2661"/>
      <c r="C15" s="50" t="s">
        <v>2075</v>
      </c>
      <c r="D15" s="51" t="s">
        <v>1018</v>
      </c>
      <c r="E15" s="52" t="s">
        <v>1021</v>
      </c>
      <c r="F15" s="50" t="s">
        <v>2075</v>
      </c>
      <c r="G15" s="51" t="s">
        <v>2077</v>
      </c>
      <c r="H15" s="52" t="s">
        <v>1021</v>
      </c>
    </row>
    <row r="16" spans="1:8" ht="12.75">
      <c r="A16" s="267"/>
      <c r="B16" s="53"/>
      <c r="C16" s="56" t="s">
        <v>1441</v>
      </c>
      <c r="D16" s="56">
        <v>11</v>
      </c>
      <c r="E16" s="57">
        <v>12</v>
      </c>
      <c r="F16" s="56" t="s">
        <v>1442</v>
      </c>
      <c r="G16" s="56">
        <v>21</v>
      </c>
      <c r="H16" s="57">
        <v>22</v>
      </c>
    </row>
    <row r="17" spans="1:8" ht="16.5">
      <c r="A17" s="268" t="s">
        <v>217</v>
      </c>
      <c r="B17" s="28" t="s">
        <v>199</v>
      </c>
      <c r="C17" s="78">
        <f>D17+E17</f>
        <v>49147500</v>
      </c>
      <c r="D17" s="79">
        <f>SUM(D18:D90)</f>
        <v>37323600</v>
      </c>
      <c r="E17" s="79">
        <f>SUM(E18:E90)</f>
        <v>11823900</v>
      </c>
      <c r="F17" s="78">
        <f>SUM(F18:F90)</f>
        <v>10221424.569999998</v>
      </c>
      <c r="G17" s="79">
        <f>SUM(G18:G90)</f>
        <v>7757753.3300000001</v>
      </c>
      <c r="H17" s="79">
        <f>SUM(H18:H90)</f>
        <v>2463671.2399999998</v>
      </c>
    </row>
    <row r="18" spans="1:8" ht="102.75">
      <c r="A18" s="18" t="s">
        <v>1031</v>
      </c>
      <c r="B18" s="54" t="s">
        <v>2184</v>
      </c>
      <c r="C18" s="80">
        <f>D18+E18</f>
        <v>30806900</v>
      </c>
      <c r="D18" s="81">
        <v>22689900</v>
      </c>
      <c r="E18" s="82">
        <f>mo!L5</f>
        <v>8117000</v>
      </c>
      <c r="F18" s="80">
        <f t="shared" ref="F18:F113" si="0">G18+H18</f>
        <v>6775400.5100000007</v>
      </c>
      <c r="G18" s="81">
        <v>5132534.9800000004</v>
      </c>
      <c r="H18" s="82">
        <f>mo!M5</f>
        <v>1642865.53</v>
      </c>
    </row>
    <row r="19" spans="1:8" ht="16.5">
      <c r="B19" s="54" t="s">
        <v>1672</v>
      </c>
      <c r="C19" s="80">
        <f t="shared" ref="C19:C113" si="1">D19+E19</f>
        <v>27000</v>
      </c>
      <c r="D19" s="81">
        <v>20500</v>
      </c>
      <c r="E19" s="82">
        <f>mo!L6</f>
        <v>6500</v>
      </c>
      <c r="F19" s="80">
        <f t="shared" si="0"/>
        <v>5168.22</v>
      </c>
      <c r="G19" s="81">
        <v>3915.32</v>
      </c>
      <c r="H19" s="82">
        <f>mo!M6</f>
        <v>1252.9000000000001</v>
      </c>
    </row>
    <row r="20" spans="1:8" ht="102.75">
      <c r="A20" s="18" t="s">
        <v>1032</v>
      </c>
      <c r="B20" s="54" t="s">
        <v>2186</v>
      </c>
      <c r="C20" s="80">
        <f t="shared" si="1"/>
        <v>0</v>
      </c>
      <c r="D20" s="81"/>
      <c r="E20" s="82">
        <f>mo!L7</f>
        <v>0</v>
      </c>
      <c r="F20" s="80">
        <f t="shared" si="0"/>
        <v>0</v>
      </c>
      <c r="G20" s="81"/>
      <c r="H20" s="82"/>
    </row>
    <row r="21" spans="1:8" ht="51.75">
      <c r="A21" s="18" t="s">
        <v>1033</v>
      </c>
      <c r="B21" s="54" t="s">
        <v>2187</v>
      </c>
      <c r="C21" s="80">
        <f t="shared" si="1"/>
        <v>10400</v>
      </c>
      <c r="D21" s="81">
        <v>7900</v>
      </c>
      <c r="E21" s="82">
        <f>mo!L8</f>
        <v>2500</v>
      </c>
      <c r="F21" s="80">
        <f t="shared" si="0"/>
        <v>20474.03</v>
      </c>
      <c r="G21" s="81">
        <v>15510.63</v>
      </c>
      <c r="H21" s="82">
        <f>mo!M8</f>
        <v>4963.3999999999996</v>
      </c>
    </row>
    <row r="22" spans="1:8" ht="242.25">
      <c r="A22" s="269" t="s">
        <v>1270</v>
      </c>
      <c r="B22" s="54" t="s">
        <v>2188</v>
      </c>
      <c r="C22" s="80">
        <f t="shared" si="1"/>
        <v>0</v>
      </c>
      <c r="D22" s="81"/>
      <c r="E22" s="82">
        <f>mo!L9</f>
        <v>0</v>
      </c>
      <c r="F22" s="80">
        <f t="shared" si="0"/>
        <v>0</v>
      </c>
      <c r="G22" s="81"/>
      <c r="H22" s="82">
        <f>mo!M9</f>
        <v>0</v>
      </c>
    </row>
    <row r="23" spans="1:8" ht="77.25">
      <c r="A23" s="270" t="s">
        <v>237</v>
      </c>
      <c r="B23" s="54" t="s">
        <v>2189</v>
      </c>
      <c r="C23" s="80">
        <f t="shared" si="1"/>
        <v>0</v>
      </c>
      <c r="D23" s="81"/>
      <c r="E23" s="82"/>
      <c r="F23" s="80">
        <f t="shared" si="0"/>
        <v>0</v>
      </c>
      <c r="G23" s="81"/>
      <c r="H23" s="82"/>
    </row>
    <row r="24" spans="1:8" ht="16.5">
      <c r="A24" s="270"/>
      <c r="B24" s="54" t="s">
        <v>1159</v>
      </c>
      <c r="C24" s="80">
        <f>D24+E24</f>
        <v>428400</v>
      </c>
      <c r="D24" s="81"/>
      <c r="E24" s="82">
        <f>mo!L10</f>
        <v>428400</v>
      </c>
      <c r="F24" s="80">
        <f t="shared" si="0"/>
        <v>130772.71999999999</v>
      </c>
      <c r="G24" s="81"/>
      <c r="H24" s="82">
        <f>mo!M10</f>
        <v>130772.71999999999</v>
      </c>
    </row>
    <row r="25" spans="1:8" ht="16.5">
      <c r="A25" s="270"/>
      <c r="B25" s="54" t="s">
        <v>1160</v>
      </c>
      <c r="C25" s="80">
        <f>D25+E25</f>
        <v>14600</v>
      </c>
      <c r="D25" s="81"/>
      <c r="E25" s="82">
        <f>mo!L11</f>
        <v>14600</v>
      </c>
      <c r="F25" s="80">
        <f t="shared" si="0"/>
        <v>2284.52</v>
      </c>
      <c r="G25" s="81"/>
      <c r="H25" s="82">
        <f>mo!M11</f>
        <v>2284.52</v>
      </c>
    </row>
    <row r="26" spans="1:8" ht="16.5">
      <c r="A26" s="270"/>
      <c r="B26" s="54" t="s">
        <v>1161</v>
      </c>
      <c r="C26" s="80">
        <f>D26+E26</f>
        <v>893700</v>
      </c>
      <c r="D26" s="81"/>
      <c r="E26" s="82">
        <f>mo!L12</f>
        <v>893700</v>
      </c>
      <c r="F26" s="80">
        <f t="shared" si="0"/>
        <v>266411.44</v>
      </c>
      <c r="G26" s="81"/>
      <c r="H26" s="82">
        <f>mo!M12</f>
        <v>266411.44</v>
      </c>
    </row>
    <row r="27" spans="1:8" ht="16.5">
      <c r="A27" s="270"/>
      <c r="B27" s="54" t="s">
        <v>1163</v>
      </c>
      <c r="C27" s="80">
        <f>D27+E27</f>
        <v>10000</v>
      </c>
      <c r="D27" s="81"/>
      <c r="E27" s="82">
        <f>mo!L13</f>
        <v>10000</v>
      </c>
      <c r="F27" s="80">
        <f t="shared" si="0"/>
        <v>-23513.160000000003</v>
      </c>
      <c r="G27" s="81"/>
      <c r="H27" s="82">
        <f>mo!M13</f>
        <v>-23513.160000000003</v>
      </c>
    </row>
    <row r="28" spans="1:8" ht="39">
      <c r="A28" s="270" t="s">
        <v>2174</v>
      </c>
      <c r="B28" s="54" t="s">
        <v>1756</v>
      </c>
      <c r="C28" s="80">
        <f>D28</f>
        <v>0</v>
      </c>
      <c r="D28" s="81"/>
      <c r="E28" s="82"/>
      <c r="F28" s="80">
        <f>G28</f>
        <v>0</v>
      </c>
      <c r="G28" s="81"/>
      <c r="H28" s="82"/>
    </row>
    <row r="29" spans="1:8" ht="39">
      <c r="A29" s="18" t="s">
        <v>1272</v>
      </c>
      <c r="B29" s="54" t="s">
        <v>756</v>
      </c>
      <c r="C29" s="80">
        <f t="shared" si="1"/>
        <v>0</v>
      </c>
      <c r="D29" s="81"/>
      <c r="E29" s="82"/>
      <c r="F29" s="80">
        <f t="shared" si="0"/>
        <v>0</v>
      </c>
      <c r="G29" s="81"/>
      <c r="H29" s="82"/>
    </row>
    <row r="30" spans="1:8" ht="39">
      <c r="A30" s="18" t="s">
        <v>2175</v>
      </c>
      <c r="B30" s="54" t="s">
        <v>1758</v>
      </c>
      <c r="C30" s="80">
        <f t="shared" si="1"/>
        <v>0</v>
      </c>
      <c r="D30" s="81"/>
      <c r="E30" s="82"/>
      <c r="F30" s="80">
        <f t="shared" si="0"/>
        <v>0</v>
      </c>
      <c r="G30" s="81"/>
      <c r="H30" s="82"/>
    </row>
    <row r="31" spans="1:8" ht="39">
      <c r="A31" s="18" t="s">
        <v>1276</v>
      </c>
      <c r="B31" s="54" t="s">
        <v>757</v>
      </c>
      <c r="C31" s="80">
        <f t="shared" si="1"/>
        <v>0</v>
      </c>
      <c r="D31" s="81"/>
      <c r="E31" s="82"/>
      <c r="F31" s="80">
        <f t="shared" si="0"/>
        <v>0</v>
      </c>
      <c r="G31" s="81"/>
      <c r="H31" s="82"/>
    </row>
    <row r="32" spans="1:8" ht="26.25">
      <c r="A32" s="18" t="s">
        <v>2176</v>
      </c>
      <c r="B32" s="54" t="s">
        <v>1757</v>
      </c>
      <c r="C32" s="80">
        <f t="shared" si="1"/>
        <v>0</v>
      </c>
      <c r="D32" s="81"/>
      <c r="E32" s="82"/>
      <c r="F32" s="80">
        <f>G32</f>
        <v>0</v>
      </c>
      <c r="G32" s="81"/>
      <c r="H32" s="82"/>
    </row>
    <row r="33" spans="1:8" ht="26.25">
      <c r="A33" s="18" t="s">
        <v>238</v>
      </c>
      <c r="B33" s="54" t="s">
        <v>758</v>
      </c>
      <c r="C33" s="80">
        <f t="shared" si="1"/>
        <v>2385000</v>
      </c>
      <c r="D33" s="81">
        <v>2385000</v>
      </c>
      <c r="E33" s="82"/>
      <c r="F33" s="80">
        <f t="shared" si="0"/>
        <v>539146.29</v>
      </c>
      <c r="G33" s="81">
        <v>539146.29</v>
      </c>
      <c r="H33" s="82"/>
    </row>
    <row r="34" spans="1:8" ht="39">
      <c r="A34" s="18" t="s">
        <v>2177</v>
      </c>
      <c r="B34" s="54" t="s">
        <v>759</v>
      </c>
      <c r="C34" s="80">
        <f t="shared" si="1"/>
        <v>0</v>
      </c>
      <c r="D34" s="81"/>
      <c r="E34" s="82"/>
      <c r="F34" s="80">
        <f t="shared" si="0"/>
        <v>0</v>
      </c>
      <c r="G34" s="81"/>
      <c r="H34" s="82"/>
    </row>
    <row r="35" spans="1:8" ht="51.75">
      <c r="A35" s="18" t="s">
        <v>1277</v>
      </c>
      <c r="B35" s="54" t="s">
        <v>2195</v>
      </c>
      <c r="C35" s="80">
        <f t="shared" si="1"/>
        <v>400000</v>
      </c>
      <c r="D35" s="81"/>
      <c r="E35" s="82">
        <f>mo!L14</f>
        <v>400000</v>
      </c>
      <c r="F35" s="80">
        <f t="shared" si="0"/>
        <v>25104.93</v>
      </c>
      <c r="G35" s="81"/>
      <c r="H35" s="82">
        <f>mo!M14</f>
        <v>25104.93</v>
      </c>
    </row>
    <row r="36" spans="1:8" ht="16.5">
      <c r="A36" s="18" t="s">
        <v>1278</v>
      </c>
      <c r="B36" s="54" t="s">
        <v>2192</v>
      </c>
      <c r="C36" s="80">
        <f t="shared" si="1"/>
        <v>0</v>
      </c>
      <c r="D36" s="81"/>
      <c r="E36" s="82"/>
      <c r="F36" s="80">
        <f t="shared" si="0"/>
        <v>0</v>
      </c>
      <c r="G36" s="81"/>
      <c r="H36" s="82"/>
    </row>
    <row r="37" spans="1:8" ht="16.5">
      <c r="A37" s="271" t="s">
        <v>1279</v>
      </c>
      <c r="B37" s="54" t="s">
        <v>2193</v>
      </c>
      <c r="C37" s="80">
        <f t="shared" si="1"/>
        <v>0</v>
      </c>
      <c r="D37" s="81"/>
      <c r="E37" s="82"/>
      <c r="F37" s="80">
        <f t="shared" si="0"/>
        <v>0</v>
      </c>
      <c r="G37" s="81"/>
      <c r="H37" s="82"/>
    </row>
    <row r="38" spans="1:8" ht="16.5">
      <c r="A38" s="271"/>
      <c r="B38" s="54" t="s">
        <v>2009</v>
      </c>
      <c r="C38" s="80">
        <f>D38+E38</f>
        <v>0</v>
      </c>
      <c r="D38" s="81"/>
      <c r="E38" s="82"/>
      <c r="F38" s="80">
        <f>G38+H38</f>
        <v>0</v>
      </c>
      <c r="G38" s="81"/>
      <c r="H38" s="82"/>
    </row>
    <row r="39" spans="1:8" ht="77.25">
      <c r="A39" s="18" t="s">
        <v>1286</v>
      </c>
      <c r="B39" s="54" t="s">
        <v>2194</v>
      </c>
      <c r="C39" s="80">
        <f t="shared" si="1"/>
        <v>712000</v>
      </c>
      <c r="D39" s="81"/>
      <c r="E39" s="82">
        <f>mo!L15</f>
        <v>712000</v>
      </c>
      <c r="F39" s="80">
        <f t="shared" si="0"/>
        <v>193100.61</v>
      </c>
      <c r="G39" s="81"/>
      <c r="H39" s="82">
        <f>mo!M15</f>
        <v>193100.61</v>
      </c>
    </row>
    <row r="40" spans="1:8" ht="77.25">
      <c r="A40" s="18" t="s">
        <v>1</v>
      </c>
      <c r="B40" s="54" t="s">
        <v>2196</v>
      </c>
      <c r="C40" s="80">
        <f t="shared" si="1"/>
        <v>218000</v>
      </c>
      <c r="D40" s="81"/>
      <c r="E40" s="82">
        <f>mo!L16</f>
        <v>218000</v>
      </c>
      <c r="F40" s="80">
        <f t="shared" si="0"/>
        <v>52647.839999999997</v>
      </c>
      <c r="G40" s="81"/>
      <c r="H40" s="82">
        <f>mo!M16</f>
        <v>52647.839999999997</v>
      </c>
    </row>
    <row r="41" spans="1:8" ht="26.25">
      <c r="A41" s="18" t="s">
        <v>2</v>
      </c>
      <c r="B41" s="54" t="s">
        <v>2197</v>
      </c>
      <c r="C41" s="80">
        <f t="shared" si="1"/>
        <v>0</v>
      </c>
      <c r="D41" s="81"/>
      <c r="E41" s="82"/>
      <c r="F41" s="80">
        <f t="shared" si="0"/>
        <v>0</v>
      </c>
      <c r="G41" s="81"/>
      <c r="H41" s="82"/>
    </row>
    <row r="42" spans="1:8" ht="39">
      <c r="A42" s="18" t="s">
        <v>3</v>
      </c>
      <c r="B42" s="54" t="s">
        <v>2198</v>
      </c>
      <c r="C42" s="80">
        <f t="shared" si="1"/>
        <v>0</v>
      </c>
      <c r="D42" s="81"/>
      <c r="E42" s="82"/>
      <c r="F42" s="80">
        <f t="shared" si="0"/>
        <v>0</v>
      </c>
      <c r="G42" s="81"/>
      <c r="H42" s="82"/>
    </row>
    <row r="43" spans="1:8" ht="83.25" customHeight="1">
      <c r="A43" s="269" t="s">
        <v>4</v>
      </c>
      <c r="B43" s="54" t="s">
        <v>2199</v>
      </c>
      <c r="C43" s="80">
        <f t="shared" si="1"/>
        <v>1300000</v>
      </c>
      <c r="D43" s="81">
        <v>1300000</v>
      </c>
      <c r="E43" s="82"/>
      <c r="F43" s="80">
        <f t="shared" si="0"/>
        <v>154850.26</v>
      </c>
      <c r="G43" s="81">
        <v>154850.26</v>
      </c>
      <c r="H43" s="82"/>
    </row>
    <row r="44" spans="1:8" ht="83.25" customHeight="1">
      <c r="A44" s="269" t="s">
        <v>749</v>
      </c>
      <c r="B44" s="54" t="s">
        <v>1764</v>
      </c>
      <c r="C44" s="80">
        <f t="shared" si="1"/>
        <v>130000</v>
      </c>
      <c r="D44" s="81">
        <v>130000</v>
      </c>
      <c r="E44" s="82"/>
      <c r="F44" s="80">
        <f>G44</f>
        <v>3500</v>
      </c>
      <c r="G44" s="81">
        <v>3500</v>
      </c>
      <c r="H44" s="82"/>
    </row>
    <row r="45" spans="1:8" ht="109.5" customHeight="1">
      <c r="A45" s="269" t="s">
        <v>5</v>
      </c>
      <c r="B45" s="54" t="s">
        <v>2200</v>
      </c>
      <c r="C45" s="80">
        <f t="shared" si="1"/>
        <v>0</v>
      </c>
      <c r="D45" s="81"/>
      <c r="E45" s="82"/>
      <c r="F45" s="80">
        <f t="shared" si="0"/>
        <v>0</v>
      </c>
      <c r="G45" s="81"/>
      <c r="H45" s="82"/>
    </row>
    <row r="46" spans="1:8" ht="51.75">
      <c r="A46" s="18" t="s">
        <v>6</v>
      </c>
      <c r="B46" s="54" t="s">
        <v>2201</v>
      </c>
      <c r="C46" s="80">
        <f t="shared" si="1"/>
        <v>0</v>
      </c>
      <c r="D46" s="81"/>
      <c r="E46" s="82"/>
      <c r="F46" s="80">
        <f t="shared" si="0"/>
        <v>0</v>
      </c>
      <c r="G46" s="81"/>
      <c r="H46" s="82"/>
    </row>
    <row r="47" spans="1:8" ht="39">
      <c r="A47" s="18" t="s">
        <v>1691</v>
      </c>
      <c r="B47" s="54" t="s">
        <v>2202</v>
      </c>
      <c r="C47" s="80">
        <f t="shared" si="1"/>
        <v>0</v>
      </c>
      <c r="D47" s="81"/>
      <c r="E47" s="82"/>
      <c r="F47" s="80">
        <f t="shared" si="0"/>
        <v>0</v>
      </c>
      <c r="G47" s="81"/>
      <c r="H47" s="82"/>
    </row>
    <row r="48" spans="1:8" ht="16.5">
      <c r="A48" s="18" t="s">
        <v>2160</v>
      </c>
      <c r="B48" s="54" t="s">
        <v>2203</v>
      </c>
      <c r="C48" s="80">
        <f t="shared" si="1"/>
        <v>0</v>
      </c>
      <c r="D48" s="81"/>
      <c r="E48" s="82"/>
      <c r="F48" s="80">
        <f t="shared" si="0"/>
        <v>0</v>
      </c>
      <c r="G48" s="81"/>
      <c r="H48" s="82"/>
    </row>
    <row r="49" spans="1:9" ht="39">
      <c r="A49" s="18" t="s">
        <v>2161</v>
      </c>
      <c r="B49" s="54" t="s">
        <v>2872</v>
      </c>
      <c r="C49" s="80">
        <f t="shared" si="1"/>
        <v>0</v>
      </c>
      <c r="D49" s="81"/>
      <c r="E49" s="82">
        <f>mo!L17</f>
        <v>0</v>
      </c>
      <c r="F49" s="80">
        <f t="shared" si="0"/>
        <v>0</v>
      </c>
      <c r="G49" s="81"/>
      <c r="H49" s="82">
        <f>mo!M17</f>
        <v>0</v>
      </c>
      <c r="I49" s="547"/>
    </row>
    <row r="50" spans="1:9" ht="16.5">
      <c r="A50" s="18" t="s">
        <v>39</v>
      </c>
      <c r="B50" s="54" t="s">
        <v>2208</v>
      </c>
      <c r="C50" s="80">
        <f t="shared" si="1"/>
        <v>0</v>
      </c>
      <c r="D50" s="81"/>
      <c r="E50" s="82"/>
      <c r="F50" s="80">
        <f t="shared" si="0"/>
        <v>0</v>
      </c>
      <c r="G50" s="81"/>
      <c r="H50" s="82"/>
    </row>
    <row r="51" spans="1:9" ht="26.25">
      <c r="A51" s="18" t="s">
        <v>2121</v>
      </c>
      <c r="B51" s="54" t="s">
        <v>872</v>
      </c>
      <c r="C51" s="80">
        <f t="shared" si="1"/>
        <v>0</v>
      </c>
      <c r="D51" s="81"/>
      <c r="E51" s="82"/>
      <c r="F51" s="80">
        <f t="shared" si="0"/>
        <v>0</v>
      </c>
      <c r="G51" s="81"/>
      <c r="H51" s="82"/>
    </row>
    <row r="52" spans="1:9" ht="102.75">
      <c r="A52" s="18" t="s">
        <v>2123</v>
      </c>
      <c r="B52" s="54" t="s">
        <v>2044</v>
      </c>
      <c r="C52" s="80">
        <f t="shared" si="1"/>
        <v>0</v>
      </c>
      <c r="D52" s="81"/>
      <c r="E52" s="82"/>
      <c r="F52" s="80">
        <f t="shared" si="0"/>
        <v>0</v>
      </c>
      <c r="G52" s="81"/>
      <c r="H52" s="82"/>
    </row>
    <row r="53" spans="1:9" ht="90">
      <c r="A53" s="18" t="s">
        <v>2124</v>
      </c>
      <c r="B53" s="54" t="s">
        <v>2045</v>
      </c>
      <c r="C53" s="80">
        <f t="shared" si="1"/>
        <v>0</v>
      </c>
      <c r="D53" s="81"/>
      <c r="E53" s="82"/>
      <c r="F53" s="80">
        <f t="shared" si="0"/>
        <v>0</v>
      </c>
      <c r="G53" s="81"/>
      <c r="H53" s="82"/>
    </row>
    <row r="54" spans="1:9" ht="90">
      <c r="A54" s="18" t="s">
        <v>2125</v>
      </c>
      <c r="B54" s="54" t="s">
        <v>2210</v>
      </c>
      <c r="C54" s="80">
        <f t="shared" si="1"/>
        <v>0</v>
      </c>
      <c r="D54" s="81"/>
      <c r="E54" s="82"/>
      <c r="F54" s="80">
        <f t="shared" si="0"/>
        <v>0</v>
      </c>
      <c r="G54" s="81"/>
      <c r="H54" s="82"/>
    </row>
    <row r="55" spans="1:9" ht="77.25">
      <c r="A55" s="18" t="s">
        <v>2178</v>
      </c>
      <c r="B55" s="54" t="s">
        <v>870</v>
      </c>
      <c r="C55" s="80">
        <f t="shared" si="1"/>
        <v>410000</v>
      </c>
      <c r="D55" s="81">
        <v>410000</v>
      </c>
      <c r="E55" s="82"/>
      <c r="F55" s="80">
        <f>G55</f>
        <v>79633.14</v>
      </c>
      <c r="G55" s="81">
        <v>79633.14</v>
      </c>
      <c r="H55" s="82"/>
    </row>
    <row r="56" spans="1:9" ht="77.25">
      <c r="A56" s="18" t="s">
        <v>2179</v>
      </c>
      <c r="B56" s="54" t="s">
        <v>2837</v>
      </c>
      <c r="C56" s="80">
        <f t="shared" si="1"/>
        <v>543000</v>
      </c>
      <c r="D56" s="81">
        <v>260500</v>
      </c>
      <c r="E56" s="82">
        <f>mo!L18</f>
        <v>282500</v>
      </c>
      <c r="F56" s="80">
        <f>G56+H56</f>
        <v>7100</v>
      </c>
      <c r="G56" s="178">
        <v>3550.01</v>
      </c>
      <c r="H56" s="82">
        <f>mo!M18</f>
        <v>3549.99</v>
      </c>
    </row>
    <row r="57" spans="1:9" ht="64.5">
      <c r="A57" s="18" t="s">
        <v>2126</v>
      </c>
      <c r="B57" s="54" t="s">
        <v>2266</v>
      </c>
      <c r="C57" s="80">
        <f t="shared" si="1"/>
        <v>1480200</v>
      </c>
      <c r="D57" s="81">
        <v>1480200</v>
      </c>
      <c r="E57" s="82"/>
      <c r="F57" s="80">
        <f t="shared" si="0"/>
        <v>92813.07</v>
      </c>
      <c r="G57" s="81">
        <v>92813.07</v>
      </c>
      <c r="H57" s="82"/>
    </row>
    <row r="58" spans="1:9" ht="64.5">
      <c r="A58" s="18" t="s">
        <v>1632</v>
      </c>
      <c r="B58" s="54" t="s">
        <v>2270</v>
      </c>
      <c r="C58" s="80">
        <f t="shared" si="1"/>
        <v>498700</v>
      </c>
      <c r="D58" s="81"/>
      <c r="E58" s="82">
        <f>mo!L19</f>
        <v>498700</v>
      </c>
      <c r="F58" s="80">
        <f t="shared" si="0"/>
        <v>108985.52</v>
      </c>
      <c r="G58" s="81"/>
      <c r="H58" s="82">
        <f>mo!M19</f>
        <v>108985.52</v>
      </c>
      <c r="I58" s="10"/>
    </row>
    <row r="59" spans="1:9" ht="26.25">
      <c r="A59" s="18" t="s">
        <v>2166</v>
      </c>
      <c r="B59" s="54" t="s">
        <v>2170</v>
      </c>
      <c r="C59" s="80">
        <f t="shared" si="1"/>
        <v>3800</v>
      </c>
      <c r="D59" s="81">
        <v>3800</v>
      </c>
      <c r="E59" s="82">
        <f>Лист1!E62</f>
        <v>0</v>
      </c>
      <c r="F59" s="80">
        <f t="shared" si="0"/>
        <v>2258.6999999999998</v>
      </c>
      <c r="G59" s="81">
        <v>2258.6999999999998</v>
      </c>
      <c r="H59" s="82"/>
      <c r="I59" s="766"/>
    </row>
    <row r="60" spans="1:9" ht="26.25">
      <c r="A60" s="18" t="s">
        <v>2167</v>
      </c>
      <c r="B60" s="54" t="s">
        <v>2171</v>
      </c>
      <c r="C60" s="80">
        <f t="shared" si="1"/>
        <v>1500</v>
      </c>
      <c r="D60" s="81">
        <v>1500</v>
      </c>
      <c r="E60" s="82"/>
      <c r="F60" s="80">
        <f>G60</f>
        <v>0</v>
      </c>
      <c r="G60" s="81"/>
      <c r="H60" s="82"/>
      <c r="I60" s="766"/>
    </row>
    <row r="61" spans="1:9" ht="26.25">
      <c r="A61" s="18" t="s">
        <v>2168</v>
      </c>
      <c r="B61" s="54" t="s">
        <v>2172</v>
      </c>
      <c r="C61" s="80">
        <f t="shared" si="1"/>
        <v>900</v>
      </c>
      <c r="D61" s="81">
        <v>900</v>
      </c>
      <c r="E61" s="82"/>
      <c r="F61" s="80">
        <f>G61</f>
        <v>109.65</v>
      </c>
      <c r="G61" s="81">
        <v>109.65</v>
      </c>
      <c r="H61" s="82"/>
      <c r="I61" s="766"/>
    </row>
    <row r="62" spans="1:9" ht="26.25">
      <c r="A62" s="18" t="s">
        <v>2169</v>
      </c>
      <c r="B62" s="54" t="s">
        <v>2173</v>
      </c>
      <c r="C62" s="80">
        <f t="shared" si="1"/>
        <v>8000</v>
      </c>
      <c r="D62" s="81">
        <v>8000</v>
      </c>
      <c r="E62" s="82"/>
      <c r="F62" s="80">
        <f>G62</f>
        <v>3595.43</v>
      </c>
      <c r="G62" s="81">
        <v>3595.43</v>
      </c>
      <c r="H62" s="82"/>
      <c r="I62" s="766"/>
    </row>
    <row r="63" spans="1:9" ht="51.75">
      <c r="A63" s="18" t="s">
        <v>694</v>
      </c>
      <c r="B63" s="54" t="s">
        <v>1673</v>
      </c>
      <c r="C63" s="80">
        <f t="shared" si="1"/>
        <v>8008400</v>
      </c>
      <c r="D63" s="81">
        <v>8008400</v>
      </c>
      <c r="E63" s="82"/>
      <c r="F63" s="80">
        <f t="shared" si="0"/>
        <v>1608563.72</v>
      </c>
      <c r="G63" s="81">
        <v>1608563.72</v>
      </c>
      <c r="H63" s="82"/>
    </row>
    <row r="64" spans="1:9" ht="102.75">
      <c r="A64" s="18" t="s">
        <v>1950</v>
      </c>
      <c r="B64" s="29" t="s">
        <v>1328</v>
      </c>
      <c r="C64" s="80">
        <f t="shared" si="1"/>
        <v>0</v>
      </c>
      <c r="D64" s="81"/>
      <c r="E64" s="82"/>
      <c r="F64" s="80">
        <f t="shared" si="0"/>
        <v>0</v>
      </c>
      <c r="G64" s="81"/>
      <c r="H64" s="82"/>
    </row>
    <row r="65" spans="1:8" ht="77.25">
      <c r="A65" s="1189" t="s">
        <v>1597</v>
      </c>
      <c r="B65" s="603" t="s">
        <v>2269</v>
      </c>
      <c r="C65" s="80">
        <f t="shared" si="1"/>
        <v>5000</v>
      </c>
      <c r="D65" s="81">
        <v>5000</v>
      </c>
      <c r="E65" s="82"/>
      <c r="F65" s="80">
        <f t="shared" si="0"/>
        <v>-0.08</v>
      </c>
      <c r="G65" s="81">
        <v>-0.08</v>
      </c>
      <c r="H65" s="82"/>
    </row>
    <row r="66" spans="1:8" ht="64.5">
      <c r="A66" s="1189" t="s">
        <v>1599</v>
      </c>
      <c r="B66" s="603" t="s">
        <v>2271</v>
      </c>
      <c r="C66" s="80">
        <f t="shared" si="1"/>
        <v>0</v>
      </c>
      <c r="D66" s="81"/>
      <c r="E66" s="82"/>
      <c r="F66" s="80">
        <f t="shared" si="0"/>
        <v>0</v>
      </c>
      <c r="G66" s="81"/>
      <c r="H66" s="82"/>
    </row>
    <row r="67" spans="1:8" ht="64.5">
      <c r="A67" s="1189" t="s">
        <v>1600</v>
      </c>
      <c r="B67" s="603" t="s">
        <v>2272</v>
      </c>
      <c r="C67" s="80">
        <f t="shared" si="1"/>
        <v>5000</v>
      </c>
      <c r="D67" s="81">
        <v>5000</v>
      </c>
      <c r="E67" s="82"/>
      <c r="F67" s="80">
        <f t="shared" si="0"/>
        <v>0</v>
      </c>
      <c r="G67" s="81"/>
      <c r="H67" s="82"/>
    </row>
    <row r="68" spans="1:8" ht="64.5">
      <c r="A68" s="1190" t="s">
        <v>1692</v>
      </c>
      <c r="B68" s="603" t="s">
        <v>1288</v>
      </c>
      <c r="C68" s="80">
        <f t="shared" si="1"/>
        <v>3000</v>
      </c>
      <c r="D68" s="81">
        <v>3000</v>
      </c>
      <c r="E68" s="82"/>
      <c r="F68" s="80">
        <f t="shared" si="0"/>
        <v>0</v>
      </c>
      <c r="G68" s="81"/>
      <c r="H68" s="82"/>
    </row>
    <row r="69" spans="1:8" ht="16.5">
      <c r="A69" s="1190"/>
      <c r="B69" s="603" t="s">
        <v>1287</v>
      </c>
      <c r="C69" s="80">
        <f>D69</f>
        <v>0</v>
      </c>
      <c r="D69" s="81"/>
      <c r="E69" s="82"/>
      <c r="F69" s="80">
        <f>G69</f>
        <v>0</v>
      </c>
      <c r="G69" s="81"/>
      <c r="H69" s="82"/>
    </row>
    <row r="70" spans="1:8" ht="64.5">
      <c r="A70" s="1190" t="s">
        <v>1762</v>
      </c>
      <c r="B70" s="603" t="s">
        <v>2008</v>
      </c>
      <c r="C70" s="80">
        <f t="shared" si="1"/>
        <v>0</v>
      </c>
      <c r="D70" s="81"/>
      <c r="E70" s="82"/>
      <c r="F70" s="80">
        <f>G70</f>
        <v>0</v>
      </c>
      <c r="G70" s="81"/>
      <c r="H70" s="82"/>
    </row>
    <row r="71" spans="1:8" ht="26.25">
      <c r="A71" s="1190" t="s">
        <v>2283</v>
      </c>
      <c r="B71" s="603" t="s">
        <v>1598</v>
      </c>
      <c r="C71" s="80">
        <f t="shared" si="1"/>
        <v>0</v>
      </c>
      <c r="D71" s="81"/>
      <c r="E71" s="82"/>
      <c r="F71" s="80">
        <f t="shared" si="0"/>
        <v>1500</v>
      </c>
      <c r="G71" s="81">
        <v>1500</v>
      </c>
      <c r="H71" s="82"/>
    </row>
    <row r="72" spans="1:8" ht="90">
      <c r="A72" s="1189" t="s">
        <v>1607</v>
      </c>
      <c r="B72" s="603" t="s">
        <v>2275</v>
      </c>
      <c r="C72" s="80">
        <f t="shared" si="1"/>
        <v>10000</v>
      </c>
      <c r="D72" s="81">
        <v>10000</v>
      </c>
      <c r="E72" s="82"/>
      <c r="F72" s="80">
        <f t="shared" si="0"/>
        <v>0</v>
      </c>
      <c r="G72" s="81"/>
      <c r="H72" s="82"/>
    </row>
    <row r="73" spans="1:8" ht="26.25">
      <c r="A73" s="1189" t="s">
        <v>1608</v>
      </c>
      <c r="B73" s="603" t="s">
        <v>1598</v>
      </c>
      <c r="C73" s="80">
        <f t="shared" si="1"/>
        <v>0</v>
      </c>
      <c r="D73" s="81"/>
      <c r="E73" s="82"/>
      <c r="F73" s="80">
        <f t="shared" si="0"/>
        <v>0</v>
      </c>
      <c r="G73" s="81"/>
      <c r="H73" s="82"/>
    </row>
    <row r="74" spans="1:8" ht="26.25">
      <c r="A74" s="1190" t="s">
        <v>2282</v>
      </c>
      <c r="B74" s="603" t="s">
        <v>2281</v>
      </c>
      <c r="C74" s="80">
        <f t="shared" si="1"/>
        <v>0</v>
      </c>
      <c r="D74" s="81"/>
      <c r="E74" s="82"/>
      <c r="F74" s="80">
        <f t="shared" si="0"/>
        <v>0</v>
      </c>
      <c r="G74" s="81"/>
      <c r="H74" s="82"/>
    </row>
    <row r="75" spans="1:8" ht="26.25">
      <c r="A75" s="1190" t="s">
        <v>1693</v>
      </c>
      <c r="B75" s="603" t="s">
        <v>2284</v>
      </c>
      <c r="C75" s="80">
        <f t="shared" si="1"/>
        <v>0</v>
      </c>
      <c r="D75" s="81"/>
      <c r="E75" s="82"/>
      <c r="F75" s="80">
        <f t="shared" si="0"/>
        <v>0</v>
      </c>
      <c r="G75" s="81"/>
      <c r="H75" s="82"/>
    </row>
    <row r="76" spans="1:8" ht="64.5">
      <c r="A76" s="1189" t="s">
        <v>1609</v>
      </c>
      <c r="B76" s="603" t="s">
        <v>1694</v>
      </c>
      <c r="C76" s="80">
        <f t="shared" si="1"/>
        <v>0</v>
      </c>
      <c r="D76" s="1982"/>
      <c r="E76" s="82"/>
      <c r="F76" s="80">
        <f t="shared" si="0"/>
        <v>0</v>
      </c>
      <c r="G76" s="81"/>
      <c r="H76" s="82"/>
    </row>
    <row r="77" spans="1:8" ht="39">
      <c r="A77" s="1189" t="s">
        <v>7</v>
      </c>
      <c r="B77" s="603" t="s">
        <v>993</v>
      </c>
      <c r="C77" s="80">
        <f t="shared" si="1"/>
        <v>233000</v>
      </c>
      <c r="D77" s="81">
        <v>233000</v>
      </c>
      <c r="E77" s="82"/>
      <c r="F77" s="80">
        <f t="shared" si="0"/>
        <v>78000</v>
      </c>
      <c r="G77" s="81">
        <v>78000</v>
      </c>
      <c r="H77" s="82"/>
    </row>
    <row r="78" spans="1:8" ht="67.5" customHeight="1">
      <c r="A78" s="1189" t="s">
        <v>1664</v>
      </c>
      <c r="B78" s="603" t="s">
        <v>2011</v>
      </c>
      <c r="C78" s="80">
        <f t="shared" si="1"/>
        <v>0</v>
      </c>
      <c r="D78" s="81"/>
      <c r="E78" s="82"/>
      <c r="F78" s="80">
        <f t="shared" si="0"/>
        <v>0</v>
      </c>
      <c r="G78" s="81"/>
      <c r="H78" s="82"/>
    </row>
    <row r="79" spans="1:8" ht="67.5" customHeight="1">
      <c r="A79" s="1191" t="s">
        <v>1366</v>
      </c>
      <c r="B79" s="603" t="s">
        <v>1362</v>
      </c>
      <c r="C79" s="80">
        <f>D79+E79</f>
        <v>0</v>
      </c>
      <c r="D79" s="81"/>
      <c r="E79" s="82"/>
      <c r="F79" s="80">
        <f>G79+H79</f>
        <v>0</v>
      </c>
      <c r="G79" s="81"/>
      <c r="H79" s="82"/>
    </row>
    <row r="80" spans="1:8" ht="67.5" customHeight="1">
      <c r="A80" s="1191" t="s">
        <v>1826</v>
      </c>
      <c r="B80" s="603" t="s">
        <v>1015</v>
      </c>
      <c r="C80" s="80">
        <f>D80</f>
        <v>0</v>
      </c>
      <c r="D80" s="81"/>
      <c r="E80" s="82"/>
      <c r="F80" s="80">
        <f>G80</f>
        <v>0</v>
      </c>
      <c r="G80" s="81"/>
      <c r="H80" s="82"/>
    </row>
    <row r="81" spans="1:9" ht="67.5" customHeight="1">
      <c r="A81" s="1191" t="s">
        <v>1827</v>
      </c>
      <c r="B81" s="603" t="s">
        <v>2010</v>
      </c>
      <c r="C81" s="80">
        <f>D81+E81</f>
        <v>0</v>
      </c>
      <c r="D81" s="81"/>
      <c r="E81" s="82">
        <f>mo!L21</f>
        <v>0</v>
      </c>
      <c r="F81" s="80">
        <f>G81+H81</f>
        <v>0</v>
      </c>
      <c r="G81" s="81"/>
      <c r="H81" s="82"/>
    </row>
    <row r="82" spans="1:9" ht="109.5" customHeight="1">
      <c r="A82" s="1192" t="s">
        <v>1828</v>
      </c>
      <c r="B82" s="603" t="s">
        <v>1587</v>
      </c>
      <c r="C82" s="80">
        <f>D82</f>
        <v>11000</v>
      </c>
      <c r="D82" s="81">
        <v>11000</v>
      </c>
      <c r="E82" s="82"/>
      <c r="F82" s="80">
        <f>G82</f>
        <v>6000</v>
      </c>
      <c r="G82" s="81">
        <v>6000</v>
      </c>
      <c r="H82" s="82"/>
    </row>
    <row r="83" spans="1:9" ht="39">
      <c r="A83" s="1193" t="s">
        <v>250</v>
      </c>
      <c r="B83" s="603" t="s">
        <v>2183</v>
      </c>
      <c r="C83" s="80">
        <f t="shared" si="1"/>
        <v>130000</v>
      </c>
      <c r="D83" s="81">
        <v>130000</v>
      </c>
      <c r="E83" s="82"/>
      <c r="F83" s="80">
        <f t="shared" si="0"/>
        <v>30365.37</v>
      </c>
      <c r="G83" s="81">
        <v>30365.37</v>
      </c>
      <c r="H83" s="82"/>
    </row>
    <row r="84" spans="1:9" ht="39">
      <c r="A84" s="1189" t="s">
        <v>8</v>
      </c>
      <c r="B84" s="603" t="s">
        <v>1945</v>
      </c>
      <c r="C84" s="80">
        <f t="shared" si="1"/>
        <v>0</v>
      </c>
      <c r="D84" s="81"/>
      <c r="E84" s="82">
        <f>mo!L22</f>
        <v>0</v>
      </c>
      <c r="F84" s="80">
        <f t="shared" si="0"/>
        <v>0</v>
      </c>
      <c r="G84" s="81"/>
      <c r="H84" s="82"/>
    </row>
    <row r="85" spans="1:9" ht="16.5">
      <c r="A85" s="270" t="s">
        <v>46</v>
      </c>
      <c r="B85" s="54" t="s">
        <v>1946</v>
      </c>
      <c r="C85" s="80">
        <f t="shared" si="1"/>
        <v>0</v>
      </c>
      <c r="D85" s="81"/>
      <c r="E85" s="82"/>
      <c r="F85" s="80">
        <f t="shared" si="0"/>
        <v>0</v>
      </c>
      <c r="G85" s="81"/>
      <c r="H85" s="82"/>
    </row>
    <row r="86" spans="1:9" ht="26.25">
      <c r="A86" s="18" t="s">
        <v>9</v>
      </c>
      <c r="B86" s="54" t="s">
        <v>1947</v>
      </c>
      <c r="C86" s="80">
        <f t="shared" si="1"/>
        <v>0</v>
      </c>
      <c r="D86" s="81"/>
      <c r="E86" s="82">
        <f>mo!L23</f>
        <v>0</v>
      </c>
      <c r="F86" s="80">
        <f t="shared" si="0"/>
        <v>0</v>
      </c>
      <c r="G86" s="81"/>
      <c r="H86" s="82"/>
    </row>
    <row r="87" spans="1:9" ht="16.5">
      <c r="A87" s="18" t="s">
        <v>2082</v>
      </c>
      <c r="B87" s="54" t="s">
        <v>1588</v>
      </c>
      <c r="C87" s="80">
        <f>D87</f>
        <v>220000</v>
      </c>
      <c r="D87" s="81">
        <v>220000</v>
      </c>
      <c r="E87" s="82"/>
      <c r="F87" s="80">
        <f>G87</f>
        <v>1906.84</v>
      </c>
      <c r="G87" s="81">
        <v>1906.84</v>
      </c>
      <c r="H87" s="82"/>
    </row>
    <row r="88" spans="1:9" ht="16.5">
      <c r="A88" s="18" t="s">
        <v>2082</v>
      </c>
      <c r="B88" s="54" t="s">
        <v>30</v>
      </c>
      <c r="C88" s="80">
        <f t="shared" si="1"/>
        <v>240000</v>
      </c>
      <c r="D88" s="81"/>
      <c r="E88" s="82">
        <f>mo!L24</f>
        <v>240000</v>
      </c>
      <c r="F88" s="80">
        <f t="shared" si="0"/>
        <v>55245</v>
      </c>
      <c r="G88" s="81"/>
      <c r="H88" s="82">
        <f>mo!M24</f>
        <v>55245</v>
      </c>
    </row>
    <row r="89" spans="1:9" ht="26.25">
      <c r="A89" s="18" t="s">
        <v>10</v>
      </c>
      <c r="B89" s="54" t="s">
        <v>1948</v>
      </c>
      <c r="C89" s="80">
        <f t="shared" si="1"/>
        <v>0</v>
      </c>
      <c r="D89" s="81"/>
      <c r="E89" s="82"/>
      <c r="F89" s="80">
        <f t="shared" si="0"/>
        <v>0</v>
      </c>
      <c r="G89" s="81"/>
      <c r="H89" s="82"/>
    </row>
    <row r="90" spans="1:9" ht="26.25">
      <c r="A90" s="18" t="s">
        <v>12</v>
      </c>
      <c r="B90" s="54" t="s">
        <v>1354</v>
      </c>
      <c r="C90" s="80">
        <f t="shared" si="1"/>
        <v>0</v>
      </c>
      <c r="D90" s="81"/>
      <c r="E90" s="82">
        <f>mo!L25</f>
        <v>0</v>
      </c>
      <c r="F90" s="80">
        <f>G90+H90</f>
        <v>0</v>
      </c>
      <c r="G90" s="12"/>
      <c r="H90" s="374"/>
      <c r="I90" s="547"/>
    </row>
    <row r="91" spans="1:9" ht="16.5">
      <c r="A91" s="348" t="s">
        <v>48</v>
      </c>
      <c r="B91" s="55" t="s">
        <v>1308</v>
      </c>
      <c r="C91" s="78">
        <f>SUM(C92:C119)</f>
        <v>275190200</v>
      </c>
      <c r="D91" s="83">
        <f>SUM(D92:D118)</f>
        <v>234230600</v>
      </c>
      <c r="E91" s="83">
        <f>SUM(E92:E119)</f>
        <v>52064800</v>
      </c>
      <c r="F91" s="78">
        <f>SUM(F92:F119)</f>
        <v>73982400.950000003</v>
      </c>
      <c r="G91" s="83">
        <f>SUM(G92:G120)</f>
        <v>63694284.020000003</v>
      </c>
      <c r="H91" s="83">
        <f>SUM(H92:H119)</f>
        <v>11233155.029999999</v>
      </c>
    </row>
    <row r="92" spans="1:9" ht="40.5" customHeight="1">
      <c r="A92" s="337" t="s">
        <v>17</v>
      </c>
      <c r="B92" s="187" t="s">
        <v>1355</v>
      </c>
      <c r="C92" s="80">
        <f t="shared" si="1"/>
        <v>59122600</v>
      </c>
      <c r="D92" s="81">
        <v>59122600</v>
      </c>
      <c r="E92" s="82"/>
      <c r="F92" s="80">
        <f t="shared" si="0"/>
        <v>29205000</v>
      </c>
      <c r="G92" s="178">
        <v>29205000</v>
      </c>
      <c r="H92" s="82"/>
    </row>
    <row r="93" spans="1:9" ht="40.5" customHeight="1">
      <c r="A93" s="337" t="s">
        <v>1465</v>
      </c>
      <c r="B93" s="187" t="s">
        <v>752</v>
      </c>
      <c r="C93" s="80">
        <f>D93+E93</f>
        <v>0</v>
      </c>
      <c r="D93" s="81"/>
      <c r="E93" s="82">
        <f>mo!L30</f>
        <v>0</v>
      </c>
      <c r="F93" s="80">
        <f>G93+H93</f>
        <v>0</v>
      </c>
      <c r="G93" s="178"/>
      <c r="H93" s="82">
        <f>mo!M30</f>
        <v>0</v>
      </c>
    </row>
    <row r="94" spans="1:9" ht="40.5" customHeight="1">
      <c r="A94" s="337" t="s">
        <v>2099</v>
      </c>
      <c r="B94" s="187" t="s">
        <v>849</v>
      </c>
      <c r="C94" s="80">
        <f>D94</f>
        <v>0</v>
      </c>
      <c r="D94" s="81"/>
      <c r="E94" s="82"/>
      <c r="F94" s="80">
        <f>G94</f>
        <v>0</v>
      </c>
      <c r="G94" s="178"/>
      <c r="H94" s="82"/>
    </row>
    <row r="95" spans="1:9" ht="27" customHeight="1">
      <c r="A95" s="343" t="s">
        <v>1519</v>
      </c>
      <c r="B95" s="344" t="s">
        <v>1356</v>
      </c>
      <c r="C95" s="98">
        <f>E95-E125</f>
        <v>44184900</v>
      </c>
      <c r="D95" s="81"/>
      <c r="E95" s="82">
        <f>mo!L27</f>
        <v>50609100</v>
      </c>
      <c r="F95" s="80">
        <f>H95-H125</f>
        <v>11046000</v>
      </c>
      <c r="G95" s="178"/>
      <c r="H95" s="82">
        <f>mo!M27</f>
        <v>11126000</v>
      </c>
    </row>
    <row r="96" spans="1:9" ht="39" customHeight="1">
      <c r="A96" s="343" t="s">
        <v>1604</v>
      </c>
      <c r="B96" s="344" t="s">
        <v>1601</v>
      </c>
      <c r="C96" s="98">
        <f>D96</f>
        <v>0</v>
      </c>
      <c r="D96" s="81"/>
      <c r="E96" s="82"/>
      <c r="F96" s="80">
        <f>G96+H96</f>
        <v>0</v>
      </c>
      <c r="G96" s="178"/>
      <c r="H96" s="82"/>
    </row>
    <row r="97" spans="1:9" ht="90" customHeight="1">
      <c r="A97" s="343" t="s">
        <v>2849</v>
      </c>
      <c r="B97" s="344" t="s">
        <v>2850</v>
      </c>
      <c r="C97" s="98">
        <f>D97</f>
        <v>0</v>
      </c>
      <c r="D97" s="81"/>
      <c r="E97" s="82"/>
      <c r="F97" s="80">
        <f>G97</f>
        <v>0</v>
      </c>
      <c r="G97" s="178"/>
      <c r="H97" s="82"/>
    </row>
    <row r="98" spans="1:9" ht="67.5" customHeight="1">
      <c r="A98" s="337" t="s">
        <v>2848</v>
      </c>
      <c r="B98" s="187" t="s">
        <v>2851</v>
      </c>
      <c r="C98" s="98">
        <f>D98</f>
        <v>0</v>
      </c>
      <c r="D98" s="81"/>
      <c r="E98" s="82">
        <f>mo!L40</f>
        <v>0</v>
      </c>
      <c r="F98" s="80">
        <f t="shared" si="0"/>
        <v>0</v>
      </c>
      <c r="G98" s="178"/>
      <c r="H98" s="82">
        <f>mo!M40</f>
        <v>0</v>
      </c>
    </row>
    <row r="99" spans="1:9" ht="49.5" customHeight="1">
      <c r="A99" s="337" t="s">
        <v>1720</v>
      </c>
      <c r="B99" s="187" t="s">
        <v>1719</v>
      </c>
      <c r="C99" s="80">
        <f>D99</f>
        <v>0</v>
      </c>
      <c r="D99" s="81"/>
      <c r="E99" s="82"/>
      <c r="F99" s="80">
        <f>G99</f>
        <v>0</v>
      </c>
      <c r="G99" s="178"/>
      <c r="H99" s="82"/>
    </row>
    <row r="100" spans="1:9" ht="40.5" customHeight="1">
      <c r="A100" s="337" t="s">
        <v>3299</v>
      </c>
      <c r="B100" s="187" t="s">
        <v>3298</v>
      </c>
      <c r="C100" s="80">
        <f>D100</f>
        <v>0</v>
      </c>
      <c r="D100" s="81"/>
      <c r="E100" s="82">
        <f>mo!L31</f>
        <v>0</v>
      </c>
      <c r="F100" s="80">
        <f>H100</f>
        <v>0</v>
      </c>
      <c r="G100" s="178"/>
      <c r="H100" s="82">
        <f>mo!M31</f>
        <v>0</v>
      </c>
      <c r="I100" s="10"/>
    </row>
    <row r="101" spans="1:9" ht="25.5">
      <c r="A101" s="337" t="s">
        <v>19</v>
      </c>
      <c r="B101" s="188" t="s">
        <v>989</v>
      </c>
      <c r="C101" s="80">
        <f t="shared" si="1"/>
        <v>33626800</v>
      </c>
      <c r="D101" s="1492">
        <v>33626800</v>
      </c>
      <c r="E101" s="82"/>
      <c r="F101" s="80">
        <f t="shared" si="0"/>
        <v>2624000</v>
      </c>
      <c r="G101" s="178">
        <v>2624000</v>
      </c>
      <c r="H101" s="82"/>
    </row>
    <row r="102" spans="1:9" ht="16.5">
      <c r="A102" s="337" t="s">
        <v>2020</v>
      </c>
      <c r="B102" s="188" t="s">
        <v>2080</v>
      </c>
      <c r="C102" s="80">
        <f t="shared" si="1"/>
        <v>813200</v>
      </c>
      <c r="D102" s="81"/>
      <c r="E102" s="82">
        <f>mo!L32</f>
        <v>813200</v>
      </c>
      <c r="F102" s="80">
        <f t="shared" si="0"/>
        <v>0</v>
      </c>
      <c r="G102" s="178"/>
      <c r="H102" s="82">
        <f>mo!M32</f>
        <v>0</v>
      </c>
    </row>
    <row r="103" spans="1:9" ht="38.25">
      <c r="A103" s="337" t="s">
        <v>1596</v>
      </c>
      <c r="B103" s="188" t="s">
        <v>3437</v>
      </c>
      <c r="C103" s="80">
        <f>D103</f>
        <v>182600</v>
      </c>
      <c r="D103" s="81">
        <v>182600</v>
      </c>
      <c r="E103" s="82"/>
      <c r="F103" s="80">
        <f>G103</f>
        <v>0</v>
      </c>
      <c r="G103" s="178"/>
      <c r="H103" s="82"/>
    </row>
    <row r="104" spans="1:9" ht="46.5" customHeight="1">
      <c r="A104" s="337" t="s">
        <v>1584</v>
      </c>
      <c r="B104" s="188" t="s">
        <v>2081</v>
      </c>
      <c r="C104" s="80">
        <f t="shared" si="1"/>
        <v>639000</v>
      </c>
      <c r="D104" s="81"/>
      <c r="E104" s="82">
        <f>mo!L38</f>
        <v>639000</v>
      </c>
      <c r="F104" s="80">
        <f t="shared" si="0"/>
        <v>107155.02999999998</v>
      </c>
      <c r="G104" s="178"/>
      <c r="H104" s="82">
        <f>mo!M38</f>
        <v>107155.02999999998</v>
      </c>
    </row>
    <row r="105" spans="1:9" ht="38.25">
      <c r="A105" s="337" t="s">
        <v>2061</v>
      </c>
      <c r="B105" s="188" t="s">
        <v>991</v>
      </c>
      <c r="C105" s="80">
        <f t="shared" si="1"/>
        <v>0</v>
      </c>
      <c r="D105" s="81"/>
      <c r="E105" s="82"/>
      <c r="F105" s="80">
        <f t="shared" si="0"/>
        <v>0</v>
      </c>
      <c r="G105" s="178"/>
      <c r="H105" s="82"/>
    </row>
    <row r="106" spans="1:9" ht="57" customHeight="1">
      <c r="A106" s="337" t="s">
        <v>2062</v>
      </c>
      <c r="B106" s="188" t="s">
        <v>992</v>
      </c>
      <c r="C106" s="80">
        <f t="shared" si="1"/>
        <v>10500100</v>
      </c>
      <c r="D106" s="81">
        <v>10500100</v>
      </c>
      <c r="E106" s="82"/>
      <c r="F106" s="80">
        <f t="shared" si="0"/>
        <v>4203044.22</v>
      </c>
      <c r="G106" s="178">
        <v>4203044.22</v>
      </c>
      <c r="H106" s="82"/>
    </row>
    <row r="107" spans="1:9" ht="38.25">
      <c r="A107" s="337" t="s">
        <v>16</v>
      </c>
      <c r="B107" s="188" t="s">
        <v>994</v>
      </c>
      <c r="C107" s="80">
        <f t="shared" si="1"/>
        <v>5553400</v>
      </c>
      <c r="D107" s="81">
        <v>5553400</v>
      </c>
      <c r="E107" s="82"/>
      <c r="F107" s="80">
        <f t="shared" si="0"/>
        <v>1178901.7</v>
      </c>
      <c r="G107" s="178">
        <v>1178901.7</v>
      </c>
      <c r="H107" s="82"/>
    </row>
    <row r="108" spans="1:9" ht="38.25">
      <c r="A108" s="337" t="s">
        <v>120</v>
      </c>
      <c r="B108" s="188" t="s">
        <v>119</v>
      </c>
      <c r="C108" s="80">
        <f>D108+E108</f>
        <v>3500</v>
      </c>
      <c r="D108" s="81"/>
      <c r="E108" s="82">
        <f>mo!L39</f>
        <v>3500</v>
      </c>
      <c r="F108" s="80">
        <f>G108+H108</f>
        <v>0</v>
      </c>
      <c r="G108" s="178"/>
      <c r="H108" s="82">
        <f>mo!M39</f>
        <v>0</v>
      </c>
    </row>
    <row r="109" spans="1:9" ht="90" customHeight="1">
      <c r="A109" s="337" t="s">
        <v>1595</v>
      </c>
      <c r="B109" s="188" t="s">
        <v>1633</v>
      </c>
      <c r="C109" s="80">
        <f>D109</f>
        <v>0</v>
      </c>
      <c r="D109" s="81"/>
      <c r="E109" s="82"/>
      <c r="F109" s="80">
        <f>G109</f>
        <v>0</v>
      </c>
      <c r="G109" s="178"/>
      <c r="H109" s="82"/>
    </row>
    <row r="110" spans="1:9" ht="30.75" customHeight="1">
      <c r="A110" s="337" t="s">
        <v>874</v>
      </c>
      <c r="B110" s="188" t="s">
        <v>990</v>
      </c>
      <c r="C110" s="80">
        <f>D110</f>
        <v>8400</v>
      </c>
      <c r="D110" s="81">
        <v>8400</v>
      </c>
      <c r="E110" s="82"/>
      <c r="F110" s="80">
        <f>G110</f>
        <v>0</v>
      </c>
      <c r="G110" s="178"/>
      <c r="H110" s="82"/>
    </row>
    <row r="111" spans="1:9" ht="25.5">
      <c r="A111" s="343" t="s">
        <v>935</v>
      </c>
      <c r="B111" s="188" t="s">
        <v>11</v>
      </c>
      <c r="C111" s="80">
        <f>D111+E111</f>
        <v>0</v>
      </c>
      <c r="D111" s="81"/>
      <c r="E111" s="82"/>
      <c r="F111" s="80">
        <f>G111+H111</f>
        <v>0</v>
      </c>
      <c r="G111" s="178"/>
      <c r="H111" s="82"/>
    </row>
    <row r="112" spans="1:9" ht="42.75" customHeight="1">
      <c r="A112" s="343" t="s">
        <v>1602</v>
      </c>
      <c r="B112" s="188" t="s">
        <v>1603</v>
      </c>
      <c r="C112" s="80">
        <f>E112</f>
        <v>0</v>
      </c>
      <c r="D112" s="81"/>
      <c r="E112" s="82"/>
      <c r="F112" s="80">
        <f>H112</f>
        <v>0</v>
      </c>
      <c r="G112" s="178"/>
      <c r="H112" s="82"/>
    </row>
    <row r="113" spans="1:8" ht="25.5">
      <c r="A113" s="337" t="s">
        <v>18</v>
      </c>
      <c r="B113" s="188" t="s">
        <v>1357</v>
      </c>
      <c r="C113" s="80">
        <f t="shared" si="1"/>
        <v>120549300</v>
      </c>
      <c r="D113" s="725">
        <v>120549300</v>
      </c>
      <c r="E113" s="82"/>
      <c r="F113" s="80">
        <f t="shared" si="0"/>
        <v>25618300</v>
      </c>
      <c r="G113" s="178">
        <v>25618300</v>
      </c>
      <c r="H113" s="82"/>
    </row>
    <row r="114" spans="1:8" ht="67.5" customHeight="1">
      <c r="A114" s="343" t="s">
        <v>2074</v>
      </c>
      <c r="B114" s="346" t="s">
        <v>995</v>
      </c>
      <c r="C114" s="347"/>
      <c r="D114" s="725">
        <v>4681000</v>
      </c>
      <c r="E114" s="82"/>
      <c r="F114" s="80"/>
      <c r="G114" s="725">
        <v>865038.1</v>
      </c>
      <c r="H114" s="82"/>
    </row>
    <row r="115" spans="1:8" ht="40.5" customHeight="1">
      <c r="A115" s="337" t="s">
        <v>1524</v>
      </c>
      <c r="B115" s="187" t="s">
        <v>748</v>
      </c>
      <c r="C115" s="80">
        <f>D115+E115</f>
        <v>6400</v>
      </c>
      <c r="D115" s="81">
        <v>6400</v>
      </c>
      <c r="E115" s="82"/>
      <c r="F115" s="80">
        <f>G115+H115</f>
        <v>0</v>
      </c>
      <c r="G115" s="178"/>
      <c r="H115" s="82"/>
    </row>
    <row r="116" spans="1:8" ht="78.75" customHeight="1">
      <c r="A116" s="339" t="s">
        <v>1271</v>
      </c>
      <c r="B116" s="189" t="s">
        <v>1677</v>
      </c>
      <c r="C116" s="191">
        <f>D116+E116</f>
        <v>0</v>
      </c>
      <c r="D116" s="84"/>
      <c r="E116" s="85"/>
      <c r="F116" s="191">
        <f>G116+H116</f>
        <v>0</v>
      </c>
      <c r="G116" s="1092"/>
      <c r="H116" s="85"/>
    </row>
    <row r="117" spans="1:8" ht="128.25" customHeight="1">
      <c r="A117" s="339" t="s">
        <v>1034</v>
      </c>
      <c r="B117" s="189" t="s">
        <v>1035</v>
      </c>
      <c r="C117" s="191">
        <f>D117+E117</f>
        <v>0</v>
      </c>
      <c r="D117" s="84"/>
      <c r="E117" s="85"/>
      <c r="F117" s="191">
        <f>G117+H117</f>
        <v>0</v>
      </c>
      <c r="G117" s="1092"/>
      <c r="H117" s="85"/>
    </row>
    <row r="118" spans="1:8" ht="16.5">
      <c r="A118" s="562" t="s">
        <v>1657</v>
      </c>
      <c r="B118" s="563" t="s">
        <v>2116</v>
      </c>
      <c r="C118" s="564">
        <f>D118</f>
        <v>0</v>
      </c>
      <c r="D118" s="84"/>
      <c r="E118" s="85"/>
      <c r="F118" s="191">
        <f>G118</f>
        <v>0</v>
      </c>
      <c r="G118" s="1092"/>
      <c r="H118" s="85"/>
    </row>
    <row r="119" spans="1:8" ht="16.5">
      <c r="A119" s="562" t="s">
        <v>1657</v>
      </c>
      <c r="B119" s="563" t="s">
        <v>686</v>
      </c>
      <c r="C119" s="564"/>
      <c r="D119" s="84"/>
      <c r="E119" s="724">
        <f>mo!L41</f>
        <v>0</v>
      </c>
      <c r="F119" s="191"/>
      <c r="G119" s="1092"/>
      <c r="H119" s="724">
        <f>mo!M41</f>
        <v>0</v>
      </c>
    </row>
    <row r="120" spans="1:8" ht="16.5">
      <c r="A120" s="562" t="s">
        <v>218</v>
      </c>
      <c r="B120" s="606" t="s">
        <v>2222</v>
      </c>
      <c r="C120" s="564">
        <f>E120</f>
        <v>0</v>
      </c>
      <c r="D120" s="84"/>
      <c r="E120" s="85"/>
      <c r="F120" s="191">
        <f>H120</f>
        <v>0</v>
      </c>
      <c r="G120" s="1092"/>
      <c r="H120" s="85"/>
    </row>
    <row r="121" spans="1:8" ht="51">
      <c r="A121" s="764" t="s">
        <v>2180</v>
      </c>
      <c r="B121" s="765" t="s">
        <v>1759</v>
      </c>
      <c r="C121" s="564">
        <f>E121+D121</f>
        <v>0</v>
      </c>
      <c r="D121" s="81"/>
      <c r="E121" s="82"/>
      <c r="F121" s="80">
        <f>G121</f>
        <v>-12730</v>
      </c>
      <c r="G121" s="178">
        <v>-12730</v>
      </c>
      <c r="H121" s="82"/>
    </row>
    <row r="122" spans="1:8" ht="38.25">
      <c r="A122" s="764" t="s">
        <v>2181</v>
      </c>
      <c r="B122" s="765" t="s">
        <v>105</v>
      </c>
      <c r="C122" s="564">
        <f>E122</f>
        <v>0</v>
      </c>
      <c r="D122" s="81"/>
      <c r="E122" s="82">
        <f>mo!L42</f>
        <v>0</v>
      </c>
      <c r="F122" s="80">
        <f>H122</f>
        <v>-2209.56</v>
      </c>
      <c r="G122" s="81"/>
      <c r="H122" s="82">
        <f>mo!M42</f>
        <v>-2209.56</v>
      </c>
    </row>
    <row r="123" spans="1:8" ht="16.5">
      <c r="A123" s="760" t="s">
        <v>866</v>
      </c>
      <c r="B123" s="761" t="s">
        <v>49</v>
      </c>
      <c r="C123" s="762">
        <f>C17+C91+C121+C122</f>
        <v>324337700</v>
      </c>
      <c r="D123" s="762">
        <f>D17+D91+D121+D120+D122</f>
        <v>271554200</v>
      </c>
      <c r="E123" s="763">
        <f>E17+E91+E121+E122</f>
        <v>63888700</v>
      </c>
      <c r="F123" s="762">
        <f>F17+F91+F121+F122</f>
        <v>84188885.959999993</v>
      </c>
      <c r="G123" s="762">
        <f>G17+G91+G121+G120</f>
        <v>71439307.350000009</v>
      </c>
      <c r="H123" s="763">
        <f>H17+H91+H121+H122</f>
        <v>13694616.709999999</v>
      </c>
    </row>
    <row r="124" spans="1:8" ht="16.5">
      <c r="A124" s="620"/>
      <c r="B124" s="621"/>
      <c r="C124" s="622"/>
      <c r="D124" s="622" t="s">
        <v>1444</v>
      </c>
      <c r="E124" s="622" t="s">
        <v>1447</v>
      </c>
      <c r="F124" s="622"/>
      <c r="G124" s="622" t="s">
        <v>1445</v>
      </c>
      <c r="H124" s="623" t="s">
        <v>1446</v>
      </c>
    </row>
    <row r="125" spans="1:8" ht="16.5">
      <c r="A125" s="612" t="s">
        <v>1443</v>
      </c>
      <c r="B125" s="1498" t="s">
        <v>1356</v>
      </c>
      <c r="C125" s="291">
        <f>E125</f>
        <v>6424200</v>
      </c>
      <c r="D125" s="613"/>
      <c r="E125" s="613">
        <f>mo!L45</f>
        <v>6424200</v>
      </c>
      <c r="F125" s="291">
        <f>H125</f>
        <v>80000</v>
      </c>
      <c r="G125" s="613"/>
      <c r="H125" s="614">
        <f>mo!M45</f>
        <v>80000</v>
      </c>
    </row>
    <row r="126" spans="1:8" ht="17.25" thickBot="1">
      <c r="A126" s="615" t="s">
        <v>1443</v>
      </c>
      <c r="B126" s="616" t="s">
        <v>995</v>
      </c>
      <c r="C126" s="617">
        <f>D126</f>
        <v>4681000</v>
      </c>
      <c r="D126" s="618">
        <f>D114</f>
        <v>4681000</v>
      </c>
      <c r="E126" s="618"/>
      <c r="F126" s="617">
        <f>G126</f>
        <v>865038.1</v>
      </c>
      <c r="G126" s="618">
        <f>G114</f>
        <v>865038.1</v>
      </c>
      <c r="H126" s="619"/>
    </row>
    <row r="127" spans="1:8" ht="16.5">
      <c r="A127" s="634"/>
      <c r="B127" s="635"/>
      <c r="C127" s="636"/>
      <c r="D127" s="639" t="s">
        <v>1441</v>
      </c>
      <c r="E127" s="637"/>
      <c r="F127" s="636"/>
      <c r="G127" s="639" t="s">
        <v>1442</v>
      </c>
      <c r="H127" s="638"/>
    </row>
    <row r="128" spans="1:8" ht="16.5">
      <c r="A128" s="640" t="s">
        <v>52</v>
      </c>
      <c r="B128" s="641"/>
      <c r="C128" s="87"/>
      <c r="D128" s="88">
        <f>D123-D126</f>
        <v>266873200</v>
      </c>
      <c r="E128" s="88"/>
      <c r="F128" s="87"/>
      <c r="G128" s="88">
        <f>G123-G126</f>
        <v>70574269.250000015</v>
      </c>
      <c r="H128" s="88"/>
    </row>
    <row r="129" spans="1:9" ht="17.25" thickBot="1">
      <c r="A129" s="642"/>
      <c r="B129" s="643"/>
      <c r="C129" s="113"/>
      <c r="D129" s="307"/>
      <c r="E129" s="307"/>
      <c r="F129" s="113"/>
      <c r="G129" s="307"/>
      <c r="H129" s="307"/>
    </row>
    <row r="130" spans="1:9" ht="16.5" customHeight="1">
      <c r="A130" s="2672" t="s">
        <v>74</v>
      </c>
      <c r="B130" s="2674" t="s">
        <v>216</v>
      </c>
      <c r="C130" s="2676" t="s">
        <v>2043</v>
      </c>
      <c r="D130" s="2677"/>
      <c r="E130" s="2678"/>
      <c r="F130" s="2676" t="s">
        <v>1016</v>
      </c>
      <c r="G130" s="2677"/>
      <c r="H130" s="2679"/>
    </row>
    <row r="131" spans="1:9" ht="66.75" thickBot="1">
      <c r="A131" s="2673"/>
      <c r="B131" s="2675"/>
      <c r="C131" s="315" t="s">
        <v>2075</v>
      </c>
      <c r="D131" s="316" t="s">
        <v>1018</v>
      </c>
      <c r="E131" s="317" t="s">
        <v>1021</v>
      </c>
      <c r="F131" s="315" t="s">
        <v>2075</v>
      </c>
      <c r="G131" s="316" t="s">
        <v>2077</v>
      </c>
      <c r="H131" s="318" t="s">
        <v>1021</v>
      </c>
    </row>
    <row r="132" spans="1:9" ht="13.5" thickBot="1">
      <c r="A132" s="267"/>
      <c r="B132" s="53"/>
      <c r="C132" s="56" t="s">
        <v>1441</v>
      </c>
      <c r="D132" s="56">
        <v>11</v>
      </c>
      <c r="E132" s="57">
        <v>12</v>
      </c>
      <c r="F132" s="56" t="s">
        <v>1442</v>
      </c>
      <c r="G132" s="56">
        <v>21</v>
      </c>
      <c r="H132" s="57">
        <v>22</v>
      </c>
    </row>
    <row r="133" spans="1:9" ht="17.25" thickBot="1">
      <c r="A133" s="276" t="s">
        <v>75</v>
      </c>
      <c r="B133" s="60" t="s">
        <v>76</v>
      </c>
      <c r="C133" s="93">
        <f>D133+E133</f>
        <v>78711818.110000014</v>
      </c>
      <c r="D133" s="94">
        <f>SUM(D134:D148)</f>
        <v>43266267.760000005</v>
      </c>
      <c r="E133" s="94">
        <f>SUM(E134:E148)</f>
        <v>35445550.350000001</v>
      </c>
      <c r="F133" s="93">
        <f>G133+H133</f>
        <v>27169113.32</v>
      </c>
      <c r="G133" s="94">
        <f>SUM(G134:G148)</f>
        <v>18478342.600000001</v>
      </c>
      <c r="H133" s="94">
        <f>SUM(H134:H148)</f>
        <v>8690770.7200000007</v>
      </c>
      <c r="I133" s="10"/>
    </row>
    <row r="134" spans="1:9" ht="16.5">
      <c r="A134" s="18" t="s">
        <v>77</v>
      </c>
      <c r="B134" s="34" t="s">
        <v>78</v>
      </c>
      <c r="C134" s="95">
        <f t="shared" ref="C134:C224" si="2">D134+E134</f>
        <v>43291922.170000002</v>
      </c>
      <c r="D134" s="96">
        <f>D150+D166+D194+D219+D222</f>
        <v>23542583.82</v>
      </c>
      <c r="E134" s="1771">
        <f>E150+E166+E194+E219+E222</f>
        <v>19749338.350000001</v>
      </c>
      <c r="F134" s="95">
        <f t="shared" ref="F134:F224" si="3">G134+H134</f>
        <v>17283359.740000002</v>
      </c>
      <c r="G134" s="96">
        <f>G150+G166+G194+G219+G222</f>
        <v>12800703.91</v>
      </c>
      <c r="H134" s="1771">
        <f>H150+H166+H194+H219+H222</f>
        <v>4482655.83</v>
      </c>
      <c r="I134" s="10"/>
    </row>
    <row r="135" spans="1:9" ht="16.5">
      <c r="A135" s="18" t="s">
        <v>79</v>
      </c>
      <c r="B135" s="31" t="s">
        <v>80</v>
      </c>
      <c r="C135" s="98">
        <f t="shared" si="2"/>
        <v>2576810</v>
      </c>
      <c r="D135" s="96">
        <f>D151+D154+D168+D196+D221+D224</f>
        <v>1118560</v>
      </c>
      <c r="E135" s="1771">
        <f>E151+E154+E168+E196+E221+E224</f>
        <v>1458250</v>
      </c>
      <c r="F135" s="98">
        <f t="shared" si="3"/>
        <v>588886.86</v>
      </c>
      <c r="G135" s="96">
        <f>G151+G154+G168+G196+G221+G224</f>
        <v>216234.5</v>
      </c>
      <c r="H135" s="1771">
        <f>H151+H154+H168+H196+H221+H224</f>
        <v>372652.36</v>
      </c>
    </row>
    <row r="136" spans="1:9" ht="16.5">
      <c r="A136" s="18" t="s">
        <v>81</v>
      </c>
      <c r="B136" s="31" t="s">
        <v>82</v>
      </c>
      <c r="C136" s="98">
        <f t="shared" si="2"/>
        <v>12608960.960000001</v>
      </c>
      <c r="D136" s="96">
        <f>D152+D167+D195+D220+D223</f>
        <v>6786598.96</v>
      </c>
      <c r="E136" s="1771">
        <f>E152+E167+E195+E220+E223</f>
        <v>5822362</v>
      </c>
      <c r="F136" s="98">
        <f t="shared" si="3"/>
        <v>4953481.95</v>
      </c>
      <c r="G136" s="96">
        <f>G152+G167+G195+G220+G223</f>
        <v>3761754.66</v>
      </c>
      <c r="H136" s="1771">
        <f>H152+H167+H195+H220+H223</f>
        <v>1191727.29</v>
      </c>
    </row>
    <row r="137" spans="1:9" ht="16.5">
      <c r="A137" s="18" t="s">
        <v>83</v>
      </c>
      <c r="B137" s="31" t="s">
        <v>84</v>
      </c>
      <c r="C137" s="98">
        <f t="shared" si="2"/>
        <v>1452539.01</v>
      </c>
      <c r="D137" s="96">
        <f>D173+D190+D200+D205+D228+D233+D178</f>
        <v>965320.39</v>
      </c>
      <c r="E137" s="1771">
        <f>E173+E190+E200+E205+E228+E233+E178</f>
        <v>487218.62</v>
      </c>
      <c r="F137" s="98">
        <f t="shared" si="3"/>
        <v>505201.18000000005</v>
      </c>
      <c r="G137" s="96">
        <f>G173+G190+G200+G205+G228+G233+G178</f>
        <v>321717.02</v>
      </c>
      <c r="H137" s="1771">
        <f>H173+H190+H200+H205+H228+H233+H178</f>
        <v>183484.16</v>
      </c>
    </row>
    <row r="138" spans="1:9" ht="16.5">
      <c r="A138" s="18" t="s">
        <v>85</v>
      </c>
      <c r="B138" s="31" t="s">
        <v>86</v>
      </c>
      <c r="C138" s="98">
        <f t="shared" si="2"/>
        <v>1001628.21</v>
      </c>
      <c r="D138" s="96">
        <f>D160+D179+D206+D234</f>
        <v>490600</v>
      </c>
      <c r="E138" s="1771">
        <f>E160+E179+E206+E234</f>
        <v>511028.21</v>
      </c>
      <c r="F138" s="98">
        <f t="shared" si="3"/>
        <v>251255.5</v>
      </c>
      <c r="G138" s="96">
        <f>G160+G179+G206+G234</f>
        <v>87200</v>
      </c>
      <c r="H138" s="1771">
        <f>H160+H179+H206+H234</f>
        <v>164055.5</v>
      </c>
    </row>
    <row r="139" spans="1:9" ht="16.5">
      <c r="A139" s="18" t="s">
        <v>87</v>
      </c>
      <c r="B139" s="31" t="s">
        <v>88</v>
      </c>
      <c r="C139" s="98">
        <f t="shared" si="2"/>
        <v>2142289.67</v>
      </c>
      <c r="D139" s="96">
        <f>D180+D207+D235</f>
        <v>631889</v>
      </c>
      <c r="E139" s="1771">
        <f>E180+E207+E235</f>
        <v>1510400.67</v>
      </c>
      <c r="F139" s="98">
        <f t="shared" si="3"/>
        <v>831166.72</v>
      </c>
      <c r="G139" s="96">
        <f>G180+G207+G235</f>
        <v>311581.69</v>
      </c>
      <c r="H139" s="1771">
        <f>H180+H207+H235</f>
        <v>519585.03</v>
      </c>
    </row>
    <row r="140" spans="1:9" ht="16.5">
      <c r="A140" s="18" t="s">
        <v>23</v>
      </c>
      <c r="B140" s="31" t="s">
        <v>45</v>
      </c>
      <c r="C140" s="98">
        <f t="shared" si="2"/>
        <v>0</v>
      </c>
      <c r="D140" s="96"/>
      <c r="E140" s="1771"/>
      <c r="F140" s="98">
        <f t="shared" si="3"/>
        <v>0</v>
      </c>
      <c r="G140" s="96"/>
      <c r="H140" s="1771"/>
    </row>
    <row r="141" spans="1:9" ht="16.5">
      <c r="A141" s="18" t="s">
        <v>89</v>
      </c>
      <c r="B141" s="31" t="s">
        <v>90</v>
      </c>
      <c r="C141" s="98">
        <f t="shared" si="2"/>
        <v>1146020</v>
      </c>
      <c r="D141" s="96">
        <f>D181+D208+D229+D236+D201</f>
        <v>378120</v>
      </c>
      <c r="E141" s="1771">
        <f>E181+E208+E229+E236+E174</f>
        <v>767900</v>
      </c>
      <c r="F141" s="98">
        <f t="shared" si="3"/>
        <v>55319.22</v>
      </c>
      <c r="G141" s="96">
        <f>G181+G208+G229+G236+G201</f>
        <v>11706.75</v>
      </c>
      <c r="H141" s="1771">
        <f>H181+H208+H229+H236+H174</f>
        <v>43612.47</v>
      </c>
    </row>
    <row r="142" spans="1:9" ht="16.5">
      <c r="A142" s="18" t="s">
        <v>91</v>
      </c>
      <c r="B142" s="31" t="s">
        <v>92</v>
      </c>
      <c r="C142" s="98">
        <f t="shared" si="2"/>
        <v>2744438.5</v>
      </c>
      <c r="D142" s="96">
        <f>D161+D182+D209+D230+D237+D158+D175+D202+D191</f>
        <v>1985121</v>
      </c>
      <c r="E142" s="1771">
        <f>E161+E182+E209+E230+E237+E158+E175+E202</f>
        <v>759317.5</v>
      </c>
      <c r="F142" s="98">
        <f t="shared" si="3"/>
        <v>792961.69000000006</v>
      </c>
      <c r="G142" s="96">
        <f>G161+G182+G209+G230+G237+G158+G175+G202+G191</f>
        <v>619363.03</v>
      </c>
      <c r="H142" s="1771">
        <f>H161+H182+H209+H230+H237+H158+H175+H202</f>
        <v>173598.66</v>
      </c>
    </row>
    <row r="143" spans="1:9" ht="16.5">
      <c r="A143" s="18" t="s">
        <v>996</v>
      </c>
      <c r="B143" s="31" t="s">
        <v>1360</v>
      </c>
      <c r="C143" s="98"/>
      <c r="D143" s="99"/>
      <c r="E143" s="1772"/>
      <c r="F143" s="98">
        <f t="shared" si="3"/>
        <v>0</v>
      </c>
      <c r="G143" s="99"/>
      <c r="H143" s="1772"/>
    </row>
    <row r="144" spans="1:9" ht="16.5">
      <c r="A144" s="18"/>
      <c r="B144" s="31" t="s">
        <v>693</v>
      </c>
      <c r="C144" s="98">
        <f>D144</f>
        <v>0</v>
      </c>
      <c r="D144" s="99"/>
      <c r="E144" s="1772"/>
      <c r="F144" s="98">
        <f>G144</f>
        <v>0</v>
      </c>
      <c r="G144" s="99"/>
      <c r="H144" s="1772"/>
    </row>
    <row r="145" spans="1:8" ht="16.5">
      <c r="A145" s="18" t="s">
        <v>95</v>
      </c>
      <c r="B145" s="31" t="s">
        <v>96</v>
      </c>
      <c r="C145" s="98">
        <f t="shared" si="2"/>
        <v>2669200</v>
      </c>
      <c r="D145" s="99">
        <f>D162+D183+D187+D210+D213+D215+D217+D238+D241+D163</f>
        <v>393400</v>
      </c>
      <c r="E145" s="1772">
        <f>E162+E183+E187+E210+E213+E215+E217+E238+E241+E186+E163+E188</f>
        <v>2275800</v>
      </c>
      <c r="F145" s="98">
        <f t="shared" si="3"/>
        <v>1382910.96</v>
      </c>
      <c r="G145" s="99">
        <f>G162+G183+G187+G210+G213+G215+G217+G238+G241+G163</f>
        <v>75957.540000000008</v>
      </c>
      <c r="H145" s="1772">
        <f>H162+H183+H187+H210+H213+H215+H217+H238+H241+H186+H163+H188</f>
        <v>1306953.42</v>
      </c>
    </row>
    <row r="146" spans="1:8" ht="16.5">
      <c r="A146" s="18" t="s">
        <v>97</v>
      </c>
      <c r="B146" s="31" t="s">
        <v>99</v>
      </c>
      <c r="C146" s="98">
        <f t="shared" si="2"/>
        <v>1578675</v>
      </c>
      <c r="D146" s="99">
        <f>D176+D184+D203+D211+D239+D231</f>
        <v>786005</v>
      </c>
      <c r="E146" s="1772">
        <f>E176+E184+E203+E211+E239+E231</f>
        <v>792670</v>
      </c>
      <c r="F146" s="98">
        <f t="shared" si="3"/>
        <v>69008</v>
      </c>
      <c r="G146" s="99">
        <f>G176+G184+G203+G211+G239+G231</f>
        <v>44380</v>
      </c>
      <c r="H146" s="1772">
        <f>H176+H184+H203+H211+H239+H231</f>
        <v>24628</v>
      </c>
    </row>
    <row r="147" spans="1:8" ht="16.5">
      <c r="A147" s="19"/>
      <c r="B147" s="31" t="s">
        <v>136</v>
      </c>
      <c r="C147" s="113"/>
      <c r="D147" s="102"/>
      <c r="E147" s="1773"/>
      <c r="F147" s="98"/>
      <c r="G147" s="102"/>
      <c r="H147" s="1773"/>
    </row>
    <row r="148" spans="1:8" ht="17.25" thickBot="1">
      <c r="A148" s="19" t="s">
        <v>100</v>
      </c>
      <c r="B148" s="32" t="s">
        <v>101</v>
      </c>
      <c r="C148" s="101">
        <f t="shared" si="2"/>
        <v>7499334.5899999999</v>
      </c>
      <c r="D148" s="102">
        <f>D164+D177+D185+D204+D212+D232+D240+D159+D192</f>
        <v>6188069.5899999999</v>
      </c>
      <c r="E148" s="1773">
        <f>E164+E177+E185+E204+E212+E232+E240+E159</f>
        <v>1311265</v>
      </c>
      <c r="F148" s="101">
        <f t="shared" si="3"/>
        <v>455561.5</v>
      </c>
      <c r="G148" s="102">
        <f>G164+G177+G185+G204+G212+G232+G240+G159+G192</f>
        <v>227743.5</v>
      </c>
      <c r="H148" s="1773">
        <f>H164+H177+H185+H204+H212+H232+H240+H159</f>
        <v>227818</v>
      </c>
    </row>
    <row r="149" spans="1:8" ht="48" thickBot="1">
      <c r="A149" s="292" t="s">
        <v>24</v>
      </c>
      <c r="B149" s="33" t="s">
        <v>102</v>
      </c>
      <c r="C149" s="104">
        <f t="shared" si="2"/>
        <v>6664605.3499999996</v>
      </c>
      <c r="D149" s="105">
        <f>SUM(D150:D152)</f>
        <v>1963055</v>
      </c>
      <c r="E149" s="106">
        <f>mo!L70</f>
        <v>4701550.3499999996</v>
      </c>
      <c r="F149" s="104">
        <f t="shared" si="3"/>
        <v>1609339.99</v>
      </c>
      <c r="G149" s="107">
        <f>SUM(G150:G152)</f>
        <v>483943.54</v>
      </c>
      <c r="H149" s="108">
        <f>mo!M70</f>
        <v>1125396.45</v>
      </c>
    </row>
    <row r="150" spans="1:8" ht="16.5">
      <c r="A150" s="17" t="s">
        <v>77</v>
      </c>
      <c r="B150" s="34" t="s">
        <v>2495</v>
      </c>
      <c r="C150" s="95">
        <f t="shared" si="2"/>
        <v>5059193.3499999996</v>
      </c>
      <c r="D150" s="96">
        <v>1568055</v>
      </c>
      <c r="E150" s="97">
        <f>mo!L71</f>
        <v>3491138.35</v>
      </c>
      <c r="F150" s="95">
        <f t="shared" si="3"/>
        <v>1192152.18</v>
      </c>
      <c r="G150" s="109">
        <v>383143.54</v>
      </c>
      <c r="H150" s="110">
        <f>mo!M71</f>
        <v>809008.64000000001</v>
      </c>
    </row>
    <row r="151" spans="1:8" ht="16.5">
      <c r="A151" s="18" t="s">
        <v>79</v>
      </c>
      <c r="B151" s="31" t="s">
        <v>2496</v>
      </c>
      <c r="C151" s="98">
        <f t="shared" si="2"/>
        <v>232350</v>
      </c>
      <c r="D151" s="99">
        <v>50000</v>
      </c>
      <c r="E151" s="97">
        <f>mo!L72</f>
        <v>182350</v>
      </c>
      <c r="F151" s="98">
        <f t="shared" si="3"/>
        <v>109050</v>
      </c>
      <c r="G151" s="111">
        <v>1600</v>
      </c>
      <c r="H151" s="112">
        <f>mo!M72</f>
        <v>107450</v>
      </c>
    </row>
    <row r="152" spans="1:8" ht="17.25" thickBot="1">
      <c r="A152" s="19" t="s">
        <v>81</v>
      </c>
      <c r="B152" s="32" t="s">
        <v>3258</v>
      </c>
      <c r="C152" s="113">
        <f t="shared" si="2"/>
        <v>1373062</v>
      </c>
      <c r="D152" s="102">
        <v>345000</v>
      </c>
      <c r="E152" s="114">
        <f>mo!L73</f>
        <v>1028062</v>
      </c>
      <c r="F152" s="113">
        <f t="shared" si="3"/>
        <v>308137.81000000006</v>
      </c>
      <c r="G152" s="115">
        <v>99200</v>
      </c>
      <c r="H152" s="116">
        <f>mo!M73</f>
        <v>208937.81000000003</v>
      </c>
    </row>
    <row r="153" spans="1:8" ht="79.5" thickBot="1">
      <c r="A153" s="1723" t="s">
        <v>33</v>
      </c>
      <c r="B153" s="181" t="s">
        <v>34</v>
      </c>
      <c r="C153" s="104">
        <f t="shared" si="2"/>
        <v>134300</v>
      </c>
      <c r="D153" s="105">
        <f>D154+D158+D159+D160+D161+D162+D163+D164</f>
        <v>74900</v>
      </c>
      <c r="E153" s="105">
        <f>E154+E158+E159+E160+E161+E162+E163+E164</f>
        <v>59400</v>
      </c>
      <c r="F153" s="150">
        <f t="shared" si="3"/>
        <v>6700</v>
      </c>
      <c r="G153" s="105">
        <f>G154+G158+G159+G160+G161+G162+G163+G164</f>
        <v>0</v>
      </c>
      <c r="H153" s="105">
        <f>H154+H158+H159+H160+H161+H162+H163+H164</f>
        <v>6700</v>
      </c>
    </row>
    <row r="154" spans="1:8" ht="16.5">
      <c r="A154" s="281" t="s">
        <v>79</v>
      </c>
      <c r="B154" s="1999" t="s">
        <v>2497</v>
      </c>
      <c r="C154" s="161">
        <f t="shared" si="2"/>
        <v>6600</v>
      </c>
      <c r="D154" s="2000">
        <v>1600</v>
      </c>
      <c r="E154" s="538">
        <f>mo!L80</f>
        <v>5000</v>
      </c>
      <c r="F154" s="435">
        <f>G154</f>
        <v>0</v>
      </c>
      <c r="G154" s="539"/>
      <c r="H154" s="538">
        <f>mo!M80</f>
        <v>0</v>
      </c>
    </row>
    <row r="155" spans="1:8" ht="16.5">
      <c r="A155" s="17"/>
      <c r="B155" s="2001" t="s">
        <v>3301</v>
      </c>
      <c r="C155" s="151"/>
      <c r="D155" s="2002">
        <f>D158+D159</f>
        <v>6400</v>
      </c>
      <c r="E155" s="2002">
        <f>E158+E159</f>
        <v>7000</v>
      </c>
      <c r="F155" s="98"/>
      <c r="G155" s="2002">
        <f>G158+G159</f>
        <v>0</v>
      </c>
      <c r="H155" s="2002">
        <f>H158+H159</f>
        <v>6700</v>
      </c>
    </row>
    <row r="156" spans="1:8" ht="16.5">
      <c r="A156" s="17"/>
      <c r="B156" s="2001" t="s">
        <v>3302</v>
      </c>
      <c r="C156" s="151"/>
      <c r="D156" s="2002">
        <f>D160+D161+D162+D164</f>
        <v>65900</v>
      </c>
      <c r="E156" s="2002">
        <f>E160+E161+E162+E164</f>
        <v>47400</v>
      </c>
      <c r="F156" s="98"/>
      <c r="G156" s="2002">
        <f>G160+G161+G162+G164</f>
        <v>0</v>
      </c>
      <c r="H156" s="2002">
        <f>H160+H161+H162+H164</f>
        <v>0</v>
      </c>
    </row>
    <row r="157" spans="1:8" ht="16.5">
      <c r="A157" s="17"/>
      <c r="B157" s="2001" t="s">
        <v>3303</v>
      </c>
      <c r="C157" s="151"/>
      <c r="D157" s="2002">
        <f>D163</f>
        <v>1000</v>
      </c>
      <c r="E157" s="2002">
        <f>E163</f>
        <v>0</v>
      </c>
      <c r="F157" s="151"/>
      <c r="G157" s="2002">
        <f>G163</f>
        <v>0</v>
      </c>
      <c r="H157" s="2002">
        <f>H163</f>
        <v>0</v>
      </c>
    </row>
    <row r="158" spans="1:8" ht="16.5">
      <c r="A158" s="18" t="s">
        <v>95</v>
      </c>
      <c r="B158" s="723" t="s">
        <v>2498</v>
      </c>
      <c r="C158" s="98">
        <f t="shared" si="2"/>
        <v>10900</v>
      </c>
      <c r="D158" s="1721">
        <v>3900</v>
      </c>
      <c r="E158" s="97">
        <f>mo!L79</f>
        <v>7000</v>
      </c>
      <c r="F158" s="369">
        <f>G158+H158</f>
        <v>6700</v>
      </c>
      <c r="G158" s="109"/>
      <c r="H158" s="97">
        <f>mo!M79</f>
        <v>6700</v>
      </c>
    </row>
    <row r="159" spans="1:8" ht="16.5">
      <c r="A159" s="277" t="s">
        <v>100</v>
      </c>
      <c r="B159" s="373" t="s">
        <v>2499</v>
      </c>
      <c r="C159" s="98">
        <f>D159+E159</f>
        <v>2500</v>
      </c>
      <c r="D159" s="1721">
        <v>2500</v>
      </c>
      <c r="E159" s="152"/>
      <c r="F159" s="98">
        <f>G159+H159</f>
        <v>0</v>
      </c>
      <c r="G159" s="1724"/>
      <c r="H159" s="152"/>
    </row>
    <row r="160" spans="1:8" ht="16.5">
      <c r="A160" s="18" t="s">
        <v>85</v>
      </c>
      <c r="B160" s="373" t="s">
        <v>2500</v>
      </c>
      <c r="C160" s="98">
        <f t="shared" si="2"/>
        <v>56400</v>
      </c>
      <c r="D160" s="1722">
        <v>19000</v>
      </c>
      <c r="E160" s="152">
        <f>mo!L81</f>
        <v>37400</v>
      </c>
      <c r="F160" s="98">
        <f>G160+H160</f>
        <v>0</v>
      </c>
      <c r="G160" s="1725"/>
      <c r="H160" s="152">
        <f>mo!M81</f>
        <v>0</v>
      </c>
    </row>
    <row r="161" spans="1:9" ht="16.5">
      <c r="A161" s="18" t="s">
        <v>91</v>
      </c>
      <c r="B161" s="373" t="s">
        <v>2501</v>
      </c>
      <c r="C161" s="98">
        <f>D161+E161</f>
        <v>12000</v>
      </c>
      <c r="D161" s="1722">
        <v>12000</v>
      </c>
      <c r="E161" s="173">
        <f>mo!L82</f>
        <v>0</v>
      </c>
      <c r="F161" s="98">
        <f>G161+H161</f>
        <v>0</v>
      </c>
      <c r="G161" s="1725"/>
      <c r="H161" s="173">
        <f>mo!M82</f>
        <v>0</v>
      </c>
    </row>
    <row r="162" spans="1:9" ht="16.5">
      <c r="A162" s="18" t="s">
        <v>95</v>
      </c>
      <c r="B162" s="373" t="s">
        <v>2502</v>
      </c>
      <c r="C162" s="98">
        <f t="shared" si="2"/>
        <v>2000</v>
      </c>
      <c r="D162" s="99">
        <v>1000</v>
      </c>
      <c r="E162" s="100">
        <f>mo!L83</f>
        <v>1000</v>
      </c>
      <c r="F162" s="98">
        <f t="shared" si="3"/>
        <v>0</v>
      </c>
      <c r="G162" s="1726"/>
      <c r="H162" s="100">
        <f>mo!M83</f>
        <v>0</v>
      </c>
    </row>
    <row r="163" spans="1:9" ht="16.5">
      <c r="A163" s="17"/>
      <c r="B163" s="41" t="s">
        <v>2841</v>
      </c>
      <c r="C163" s="149">
        <f>E163</f>
        <v>0</v>
      </c>
      <c r="D163" s="99">
        <v>1000</v>
      </c>
      <c r="E163" s="114">
        <f>mo!L84</f>
        <v>0</v>
      </c>
      <c r="F163" s="149">
        <f>H163</f>
        <v>0</v>
      </c>
      <c r="G163" s="111"/>
      <c r="H163" s="100">
        <f>mo!M84</f>
        <v>0</v>
      </c>
    </row>
    <row r="164" spans="1:9" ht="17.25" thickBot="1">
      <c r="A164" s="277" t="s">
        <v>100</v>
      </c>
      <c r="B164" s="41" t="s">
        <v>2503</v>
      </c>
      <c r="C164" s="149">
        <f t="shared" si="2"/>
        <v>42900</v>
      </c>
      <c r="D164" s="121">
        <v>33900</v>
      </c>
      <c r="E164" s="114">
        <f>mo!L85</f>
        <v>9000</v>
      </c>
      <c r="F164" s="149">
        <f t="shared" si="3"/>
        <v>0</v>
      </c>
      <c r="G164" s="1720"/>
      <c r="H164" s="114">
        <f>mo!M85</f>
        <v>0</v>
      </c>
    </row>
    <row r="165" spans="1:9" ht="79.5" thickBot="1">
      <c r="A165" s="1506" t="s">
        <v>103</v>
      </c>
      <c r="B165" s="1727" t="s">
        <v>104</v>
      </c>
      <c r="C165" s="1507">
        <f t="shared" si="2"/>
        <v>42340610.759999998</v>
      </c>
      <c r="D165" s="108">
        <f>D166+D167+D168+D173+D174+D175+D176+D177+D178+D179+D180+D181+D182+D183+D184+D185+D186+D187</f>
        <v>11681810.76</v>
      </c>
      <c r="E165" s="108">
        <f>E166+E167+E168+E173+E174+E175+E176+E177+E178+E179+E180+E181+E182+E183+E184+E185+E186+E187+E188</f>
        <v>30658800</v>
      </c>
      <c r="F165" s="1507">
        <f t="shared" si="3"/>
        <v>13690106.82</v>
      </c>
      <c r="G165" s="108">
        <f>G166+G167+G168+G173+G174+G175+G176+G177+G178+G179+G180+G181+G182+G183+G184+G185+G186+G187</f>
        <v>6131432.5500000007</v>
      </c>
      <c r="H165" s="108">
        <f>H166+H167+H168+H173+H174+H175+H176+H177+H178+H179+H180+H181+H182+H183+H184+H185+H186+H187+H188</f>
        <v>7558674.2700000005</v>
      </c>
    </row>
    <row r="166" spans="1:9" ht="16.5">
      <c r="A166" s="17" t="s">
        <v>77</v>
      </c>
      <c r="B166" s="477" t="s">
        <v>2504</v>
      </c>
      <c r="C166" s="113">
        <f t="shared" si="2"/>
        <v>22281271</v>
      </c>
      <c r="D166" s="154">
        <v>6023071</v>
      </c>
      <c r="E166" s="155">
        <f>mo!L87</f>
        <v>16258200</v>
      </c>
      <c r="F166" s="113">
        <f t="shared" si="3"/>
        <v>7881438.1799999997</v>
      </c>
      <c r="G166" s="2003">
        <v>4207790.99</v>
      </c>
      <c r="H166" s="155">
        <f>mo!M87</f>
        <v>3673647.19</v>
      </c>
    </row>
    <row r="167" spans="1:9" ht="16.5">
      <c r="A167" s="18" t="s">
        <v>81</v>
      </c>
      <c r="B167" s="477" t="s">
        <v>3259</v>
      </c>
      <c r="C167" s="98">
        <f t="shared" si="2"/>
        <v>6613278.7599999998</v>
      </c>
      <c r="D167" s="153">
        <v>1818978.76</v>
      </c>
      <c r="E167" s="155">
        <f>mo!L88</f>
        <v>4794300</v>
      </c>
      <c r="F167" s="98">
        <f t="shared" si="3"/>
        <v>2192368.87</v>
      </c>
      <c r="G167" s="499">
        <v>1209579.3899999999</v>
      </c>
      <c r="H167" s="155">
        <f>mo!M88</f>
        <v>982789.48</v>
      </c>
    </row>
    <row r="168" spans="1:9" ht="16.5">
      <c r="A168" s="18" t="s">
        <v>79</v>
      </c>
      <c r="B168" s="477" t="s">
        <v>2505</v>
      </c>
      <c r="C168" s="98">
        <f t="shared" si="2"/>
        <v>1420900</v>
      </c>
      <c r="D168" s="153">
        <v>150000</v>
      </c>
      <c r="E168" s="155">
        <f>mo!L89</f>
        <v>1270900</v>
      </c>
      <c r="F168" s="98">
        <f t="shared" si="3"/>
        <v>334847.35999999999</v>
      </c>
      <c r="G168" s="499">
        <v>69645</v>
      </c>
      <c r="H168" s="155">
        <f>mo!M89</f>
        <v>265202.36</v>
      </c>
    </row>
    <row r="169" spans="1:9" ht="16.5">
      <c r="A169" s="18"/>
      <c r="B169" s="477" t="s">
        <v>3304</v>
      </c>
      <c r="C169" s="98"/>
      <c r="D169" s="153">
        <f>D173+D175+D176+D177</f>
        <v>1014785</v>
      </c>
      <c r="E169" s="153">
        <f>E173+E175+E176+E177</f>
        <v>1344578.62</v>
      </c>
      <c r="F169" s="98"/>
      <c r="G169" s="153">
        <f>G173+G175+G176+G177</f>
        <v>283281.13</v>
      </c>
      <c r="H169" s="153">
        <f>H173+H175+H176+H177</f>
        <v>264874.16000000003</v>
      </c>
    </row>
    <row r="170" spans="1:9" ht="16.5">
      <c r="A170" s="18"/>
      <c r="B170" s="477" t="s">
        <v>3305</v>
      </c>
      <c r="C170" s="98"/>
      <c r="D170" s="153">
        <f>D178+D179+D180+D181+D182+D183+D184+D185</f>
        <v>2618976</v>
      </c>
      <c r="E170" s="153">
        <f>E178+E179+E180+E181+E182+E183+E184+E185</f>
        <v>4662021.38</v>
      </c>
      <c r="F170" s="98"/>
      <c r="G170" s="153">
        <f>G178+G179+G180+G181+G182+G183+G184+G185</f>
        <v>353736.81</v>
      </c>
      <c r="H170" s="153">
        <f>H178+H179+H180+H181+H182+H183+H184+H185</f>
        <v>1064731.6600000001</v>
      </c>
    </row>
    <row r="171" spans="1:9" ht="16.5">
      <c r="A171" s="18"/>
      <c r="B171" s="477" t="s">
        <v>3306</v>
      </c>
      <c r="C171" s="98"/>
      <c r="D171" s="153">
        <f>D186</f>
        <v>0</v>
      </c>
      <c r="E171" s="153"/>
      <c r="F171" s="98"/>
      <c r="G171" s="153">
        <f>G186</f>
        <v>0</v>
      </c>
      <c r="H171" s="153">
        <f>H186</f>
        <v>1186421.19</v>
      </c>
    </row>
    <row r="172" spans="1:9" ht="16.5">
      <c r="A172" s="18"/>
      <c r="B172" s="477" t="s">
        <v>3307</v>
      </c>
      <c r="C172" s="98"/>
      <c r="D172" s="153">
        <f>D187</f>
        <v>56000</v>
      </c>
      <c r="E172" s="153">
        <f>E187</f>
        <v>120000</v>
      </c>
      <c r="F172" s="98"/>
      <c r="G172" s="153">
        <f>G187</f>
        <v>7399.23</v>
      </c>
      <c r="H172" s="153">
        <f>H187</f>
        <v>45449.06</v>
      </c>
      <c r="I172" s="547"/>
    </row>
    <row r="173" spans="1:9" ht="16.5">
      <c r="A173" s="18" t="s">
        <v>83</v>
      </c>
      <c r="B173" s="34" t="s">
        <v>2506</v>
      </c>
      <c r="C173" s="98">
        <f t="shared" si="2"/>
        <v>898618.62</v>
      </c>
      <c r="D173" s="99">
        <v>476400</v>
      </c>
      <c r="E173" s="97">
        <f>mo!L95</f>
        <v>422218.62</v>
      </c>
      <c r="F173" s="98">
        <f t="shared" si="3"/>
        <v>340198.12</v>
      </c>
      <c r="G173" s="111">
        <v>162131.96</v>
      </c>
      <c r="H173" s="97">
        <f>mo!M95</f>
        <v>178066.16</v>
      </c>
    </row>
    <row r="174" spans="1:9" ht="16.5">
      <c r="A174" s="18" t="s">
        <v>89</v>
      </c>
      <c r="B174" s="34" t="s">
        <v>2723</v>
      </c>
      <c r="C174" s="98">
        <f t="shared" si="2"/>
        <v>88000</v>
      </c>
      <c r="D174" s="99"/>
      <c r="E174" s="97">
        <f>mo!L96</f>
        <v>88000</v>
      </c>
      <c r="F174" s="98">
        <f t="shared" si="3"/>
        <v>476</v>
      </c>
      <c r="G174" s="111"/>
      <c r="H174" s="97">
        <f>mo!M96</f>
        <v>476</v>
      </c>
    </row>
    <row r="175" spans="1:9" ht="16.5">
      <c r="A175" s="18" t="s">
        <v>91</v>
      </c>
      <c r="B175" s="34" t="s">
        <v>2507</v>
      </c>
      <c r="C175" s="98">
        <f t="shared" si="2"/>
        <v>598360</v>
      </c>
      <c r="D175" s="99">
        <v>245000</v>
      </c>
      <c r="E175" s="97">
        <f>mo!L97</f>
        <v>353360</v>
      </c>
      <c r="F175" s="98">
        <f t="shared" si="3"/>
        <v>157079.16999999998</v>
      </c>
      <c r="G175" s="111">
        <v>103069.17</v>
      </c>
      <c r="H175" s="97">
        <f>mo!M97</f>
        <v>54010</v>
      </c>
    </row>
    <row r="176" spans="1:9" ht="16.5">
      <c r="A176" s="18" t="s">
        <v>97</v>
      </c>
      <c r="B176" s="34" t="s">
        <v>2508</v>
      </c>
      <c r="C176" s="98">
        <f t="shared" si="2"/>
        <v>305000</v>
      </c>
      <c r="D176" s="99">
        <v>130000</v>
      </c>
      <c r="E176" s="97">
        <f>mo!L98</f>
        <v>175000</v>
      </c>
      <c r="F176" s="98">
        <f t="shared" si="3"/>
        <v>38468</v>
      </c>
      <c r="G176" s="111">
        <v>18080</v>
      </c>
      <c r="H176" s="97">
        <f>mo!M98</f>
        <v>20388</v>
      </c>
    </row>
    <row r="177" spans="1:8" ht="16.5">
      <c r="A177" s="9" t="s">
        <v>100</v>
      </c>
      <c r="B177" s="34" t="s">
        <v>2509</v>
      </c>
      <c r="C177" s="98">
        <f t="shared" si="2"/>
        <v>557385</v>
      </c>
      <c r="D177" s="99">
        <v>163385</v>
      </c>
      <c r="E177" s="97">
        <f>mo!L99</f>
        <v>394000</v>
      </c>
      <c r="F177" s="98">
        <f t="shared" si="3"/>
        <v>12410</v>
      </c>
      <c r="G177" s="111"/>
      <c r="H177" s="97">
        <f>mo!M99</f>
        <v>12410</v>
      </c>
    </row>
    <row r="178" spans="1:8" ht="16.5">
      <c r="A178" s="18" t="s">
        <v>83</v>
      </c>
      <c r="B178" s="34" t="s">
        <v>2510</v>
      </c>
      <c r="C178" s="98">
        <f t="shared" si="2"/>
        <v>125800</v>
      </c>
      <c r="D178" s="648">
        <v>60800</v>
      </c>
      <c r="E178" s="97">
        <f>mo!L100</f>
        <v>65000</v>
      </c>
      <c r="F178" s="98">
        <f t="shared" si="3"/>
        <v>23068.65</v>
      </c>
      <c r="G178" s="111">
        <v>17650.650000000001</v>
      </c>
      <c r="H178" s="97">
        <f>mo!M100</f>
        <v>5418</v>
      </c>
    </row>
    <row r="179" spans="1:8" ht="16.5">
      <c r="A179" s="18" t="s">
        <v>85</v>
      </c>
      <c r="B179" s="34" t="s">
        <v>2511</v>
      </c>
      <c r="C179" s="98">
        <f t="shared" si="2"/>
        <v>723628.21</v>
      </c>
      <c r="D179" s="99">
        <v>250000</v>
      </c>
      <c r="E179" s="97">
        <f>mo!L101</f>
        <v>473628.21</v>
      </c>
      <c r="F179" s="98">
        <f t="shared" si="3"/>
        <v>219475.5</v>
      </c>
      <c r="G179" s="111">
        <v>55420</v>
      </c>
      <c r="H179" s="97">
        <f>mo!M101</f>
        <v>164055.5</v>
      </c>
    </row>
    <row r="180" spans="1:8" ht="16.5">
      <c r="A180" s="18" t="s">
        <v>87</v>
      </c>
      <c r="B180" s="34" t="s">
        <v>2512</v>
      </c>
      <c r="C180" s="98">
        <f t="shared" si="2"/>
        <v>1815400.67</v>
      </c>
      <c r="D180" s="648">
        <v>305000</v>
      </c>
      <c r="E180" s="97">
        <f>mo!L102</f>
        <v>1510400.67</v>
      </c>
      <c r="F180" s="98">
        <f>G180</f>
        <v>160019.12</v>
      </c>
      <c r="G180" s="111">
        <v>160019.12</v>
      </c>
      <c r="H180" s="97">
        <f>mo!M102</f>
        <v>519585.03</v>
      </c>
    </row>
    <row r="181" spans="1:8" ht="16.5">
      <c r="A181" s="18" t="s">
        <v>89</v>
      </c>
      <c r="B181" s="34" t="s">
        <v>2513</v>
      </c>
      <c r="C181" s="98">
        <f t="shared" si="2"/>
        <v>791200</v>
      </c>
      <c r="D181" s="99">
        <v>111300</v>
      </c>
      <c r="E181" s="97">
        <f>mo!L103</f>
        <v>679900</v>
      </c>
      <c r="F181" s="98">
        <f t="shared" si="3"/>
        <v>47546.47</v>
      </c>
      <c r="G181" s="111">
        <v>4410</v>
      </c>
      <c r="H181" s="97">
        <f>mo!M103</f>
        <v>43136.47</v>
      </c>
    </row>
    <row r="182" spans="1:8" ht="16.5">
      <c r="A182" s="18" t="s">
        <v>91</v>
      </c>
      <c r="B182" s="34" t="s">
        <v>2514</v>
      </c>
      <c r="C182" s="98">
        <f t="shared" si="2"/>
        <v>752107.5</v>
      </c>
      <c r="D182" s="99">
        <v>353150</v>
      </c>
      <c r="E182" s="97">
        <f>mo!L104</f>
        <v>398957.5</v>
      </c>
      <c r="F182" s="98">
        <f t="shared" si="3"/>
        <v>186435.7</v>
      </c>
      <c r="G182" s="111">
        <v>73547.039999999994</v>
      </c>
      <c r="H182" s="97">
        <f>mo!M104</f>
        <v>112888.66</v>
      </c>
    </row>
    <row r="183" spans="1:8" ht="16.5">
      <c r="A183" s="18" t="s">
        <v>95</v>
      </c>
      <c r="B183" s="31" t="s">
        <v>2515</v>
      </c>
      <c r="C183" s="98">
        <f t="shared" si="2"/>
        <v>68000</v>
      </c>
      <c r="D183" s="651">
        <v>57000</v>
      </c>
      <c r="E183" s="114">
        <f>mo!L105</f>
        <v>11000</v>
      </c>
      <c r="F183" s="98">
        <f t="shared" si="3"/>
        <v>5000</v>
      </c>
      <c r="G183" s="115">
        <v>5000</v>
      </c>
      <c r="H183" s="114">
        <f>mo!M105</f>
        <v>0</v>
      </c>
    </row>
    <row r="184" spans="1:8" ht="16.5">
      <c r="A184" s="18" t="s">
        <v>97</v>
      </c>
      <c r="B184" s="31" t="s">
        <v>2516</v>
      </c>
      <c r="C184" s="98">
        <f t="shared" si="2"/>
        <v>812670</v>
      </c>
      <c r="D184" s="648">
        <v>195000</v>
      </c>
      <c r="E184" s="100">
        <f>mo!L106</f>
        <v>617670</v>
      </c>
      <c r="F184" s="98">
        <f t="shared" si="3"/>
        <v>8440</v>
      </c>
      <c r="G184" s="111">
        <v>4200</v>
      </c>
      <c r="H184" s="100">
        <f>mo!M106</f>
        <v>4240</v>
      </c>
    </row>
    <row r="185" spans="1:8" ht="16.5">
      <c r="A185" s="9" t="s">
        <v>100</v>
      </c>
      <c r="B185" s="31" t="s">
        <v>2517</v>
      </c>
      <c r="C185" s="98">
        <f t="shared" si="2"/>
        <v>2192191</v>
      </c>
      <c r="D185" s="648">
        <v>1286726</v>
      </c>
      <c r="E185" s="100">
        <f>mo!L107</f>
        <v>905465</v>
      </c>
      <c r="F185" s="98">
        <f t="shared" si="3"/>
        <v>248898</v>
      </c>
      <c r="G185" s="111">
        <v>33490</v>
      </c>
      <c r="H185" s="100">
        <f>mo!M107</f>
        <v>215408</v>
      </c>
    </row>
    <row r="186" spans="1:8" ht="16.5">
      <c r="A186" s="18"/>
      <c r="B186" s="31" t="s">
        <v>2819</v>
      </c>
      <c r="C186" s="98">
        <f t="shared" si="2"/>
        <v>2020800</v>
      </c>
      <c r="D186" s="651"/>
      <c r="E186" s="103">
        <f>mo!L108</f>
        <v>2020800</v>
      </c>
      <c r="F186" s="98">
        <f t="shared" si="3"/>
        <v>1186421.19</v>
      </c>
      <c r="G186" s="115"/>
      <c r="H186" s="103">
        <f>mo!M108</f>
        <v>1186421.19</v>
      </c>
    </row>
    <row r="187" spans="1:8" ht="16.5">
      <c r="A187" s="18" t="s">
        <v>95</v>
      </c>
      <c r="B187" s="31" t="s">
        <v>2518</v>
      </c>
      <c r="C187" s="113">
        <f t="shared" si="2"/>
        <v>176000</v>
      </c>
      <c r="D187" s="651">
        <v>56000</v>
      </c>
      <c r="E187" s="103">
        <f>mo!L109</f>
        <v>120000</v>
      </c>
      <c r="F187" s="113">
        <f t="shared" si="3"/>
        <v>52848.289999999994</v>
      </c>
      <c r="G187" s="115">
        <v>7399.23</v>
      </c>
      <c r="H187" s="103">
        <f>mo!M109</f>
        <v>45449.06</v>
      </c>
    </row>
    <row r="188" spans="1:8" ht="17.25" thickBot="1">
      <c r="A188" s="278"/>
      <c r="B188" s="32" t="s">
        <v>3431</v>
      </c>
      <c r="C188" s="113">
        <f t="shared" si="2"/>
        <v>100000</v>
      </c>
      <c r="D188" s="651"/>
      <c r="E188" s="103">
        <f>mo!L110</f>
        <v>100000</v>
      </c>
      <c r="F188" s="113">
        <f t="shared" si="3"/>
        <v>75083.17</v>
      </c>
      <c r="G188" s="115"/>
      <c r="H188" s="103">
        <f>mo!M110</f>
        <v>75083.17</v>
      </c>
    </row>
    <row r="189" spans="1:8" ht="17.25" thickBot="1">
      <c r="A189" s="493" t="s">
        <v>28</v>
      </c>
      <c r="B189" s="47" t="s">
        <v>27</v>
      </c>
      <c r="C189" s="104">
        <f t="shared" si="2"/>
        <v>8400</v>
      </c>
      <c r="D189" s="105">
        <f>SUM(D190:D192)</f>
        <v>8400</v>
      </c>
      <c r="E189" s="106"/>
      <c r="F189" s="104">
        <f t="shared" si="3"/>
        <v>0</v>
      </c>
      <c r="G189" s="107">
        <f>SUM(G190:G192)</f>
        <v>0</v>
      </c>
      <c r="H189" s="108"/>
    </row>
    <row r="190" spans="1:8" ht="16.5">
      <c r="A190" s="17" t="s">
        <v>83</v>
      </c>
      <c r="B190" s="34" t="s">
        <v>3260</v>
      </c>
      <c r="C190" s="95">
        <f t="shared" si="2"/>
        <v>2100</v>
      </c>
      <c r="D190" s="121">
        <v>2100</v>
      </c>
      <c r="E190" s="124"/>
      <c r="F190" s="95">
        <f t="shared" si="3"/>
        <v>0</v>
      </c>
      <c r="G190" s="122"/>
      <c r="H190" s="125"/>
    </row>
    <row r="191" spans="1:8" ht="16.5">
      <c r="A191" s="18" t="s">
        <v>91</v>
      </c>
      <c r="B191" s="31" t="s">
        <v>3261</v>
      </c>
      <c r="C191" s="98">
        <f t="shared" si="2"/>
        <v>5020</v>
      </c>
      <c r="D191" s="99">
        <v>5020</v>
      </c>
      <c r="E191" s="126"/>
      <c r="F191" s="98">
        <f t="shared" si="3"/>
        <v>0</v>
      </c>
      <c r="G191" s="115"/>
      <c r="H191" s="127"/>
    </row>
    <row r="192" spans="1:8" ht="17.25" thickBot="1">
      <c r="A192" s="278" t="s">
        <v>100</v>
      </c>
      <c r="B192" s="41" t="s">
        <v>3262</v>
      </c>
      <c r="C192" s="113">
        <f t="shared" si="2"/>
        <v>1280</v>
      </c>
      <c r="D192" s="121">
        <v>1280</v>
      </c>
      <c r="E192" s="114"/>
      <c r="F192" s="113">
        <f t="shared" si="3"/>
        <v>0</v>
      </c>
      <c r="G192" s="115"/>
      <c r="H192" s="131"/>
    </row>
    <row r="193" spans="1:9" ht="79.5" thickBot="1">
      <c r="A193" s="293" t="s">
        <v>35</v>
      </c>
      <c r="B193" s="181" t="s">
        <v>122</v>
      </c>
      <c r="C193" s="150">
        <f t="shared" si="2"/>
        <v>6902302</v>
      </c>
      <c r="D193" s="105">
        <f>D194+D195+D196+D200+D201+D202+D203+D204+D205+D206+D207+D208+D209+D210+D211+D212+D213</f>
        <v>6902302</v>
      </c>
      <c r="E193" s="106"/>
      <c r="F193" s="150">
        <f t="shared" si="3"/>
        <v>4007502.6700000004</v>
      </c>
      <c r="G193" s="105">
        <f>G194+G195+G196+G200+G201+G202+G203+G204+G205+G206+G207+G208+G209+G210+G211+G212+G213</f>
        <v>4007502.6700000004</v>
      </c>
      <c r="H193" s="128"/>
    </row>
    <row r="194" spans="1:9" ht="16.5">
      <c r="A194" s="17" t="s">
        <v>77</v>
      </c>
      <c r="B194" s="477" t="s">
        <v>2519</v>
      </c>
      <c r="C194" s="113">
        <f t="shared" si="2"/>
        <v>4478890</v>
      </c>
      <c r="D194" s="154">
        <f>4478790+100</f>
        <v>4478890</v>
      </c>
      <c r="E194" s="155"/>
      <c r="F194" s="113">
        <f t="shared" si="3"/>
        <v>2747849.56</v>
      </c>
      <c r="G194" s="499">
        <v>2747849.56</v>
      </c>
      <c r="H194" s="97"/>
    </row>
    <row r="195" spans="1:9" ht="16.5">
      <c r="A195" s="18" t="s">
        <v>81</v>
      </c>
      <c r="B195" s="477" t="s">
        <v>3263</v>
      </c>
      <c r="C195" s="98">
        <f t="shared" si="2"/>
        <v>1268533</v>
      </c>
      <c r="D195" s="154">
        <v>1268533</v>
      </c>
      <c r="E195" s="126"/>
      <c r="F195" s="98">
        <f t="shared" si="3"/>
        <v>779252.58</v>
      </c>
      <c r="G195" s="499">
        <v>779252.58</v>
      </c>
      <c r="H195" s="100"/>
    </row>
    <row r="196" spans="1:9" ht="16.5">
      <c r="A196" s="18" t="s">
        <v>79</v>
      </c>
      <c r="B196" s="477" t="s">
        <v>2520</v>
      </c>
      <c r="C196" s="98">
        <f t="shared" si="2"/>
        <v>263800</v>
      </c>
      <c r="D196" s="154">
        <f>70500+193300</f>
        <v>263800</v>
      </c>
      <c r="E196" s="126"/>
      <c r="F196" s="98">
        <f t="shared" si="3"/>
        <v>129709.5</v>
      </c>
      <c r="G196" s="499">
        <v>129709.5</v>
      </c>
      <c r="H196" s="100"/>
    </row>
    <row r="197" spans="1:9" ht="16.5">
      <c r="A197" s="18"/>
      <c r="B197" s="477" t="s">
        <v>3308</v>
      </c>
      <c r="C197" s="98"/>
      <c r="D197" s="154">
        <f>D200+D201+D202+D203+D204</f>
        <v>586700</v>
      </c>
      <c r="E197" s="126"/>
      <c r="F197" s="98"/>
      <c r="G197" s="154">
        <f>G200+G201+G202+G203+G204</f>
        <v>258366.37</v>
      </c>
      <c r="H197" s="100"/>
    </row>
    <row r="198" spans="1:9" ht="16.5">
      <c r="A198" s="18"/>
      <c r="B198" s="477" t="s">
        <v>3309</v>
      </c>
      <c r="C198" s="98"/>
      <c r="D198" s="154">
        <f>D205+D206+D207+D208+D209+D210+D211+D212</f>
        <v>301379</v>
      </c>
      <c r="E198" s="126"/>
      <c r="F198" s="98"/>
      <c r="G198" s="154">
        <f>G205+G206+G207+G208+G209+G210+G211+G212</f>
        <v>92125</v>
      </c>
      <c r="H198" s="100"/>
    </row>
    <row r="199" spans="1:9" ht="16.5">
      <c r="A199" s="18"/>
      <c r="B199" s="477" t="s">
        <v>3310</v>
      </c>
      <c r="C199" s="98"/>
      <c r="D199" s="154">
        <f>D213</f>
        <v>3000</v>
      </c>
      <c r="E199" s="126"/>
      <c r="F199" s="98"/>
      <c r="G199" s="154">
        <f>G213</f>
        <v>199.66</v>
      </c>
      <c r="H199" s="100"/>
      <c r="I199" s="10"/>
    </row>
    <row r="200" spans="1:9" ht="16.5">
      <c r="A200" s="18" t="s">
        <v>83</v>
      </c>
      <c r="B200" s="34" t="s">
        <v>2521</v>
      </c>
      <c r="C200" s="98">
        <f t="shared" si="2"/>
        <v>267100</v>
      </c>
      <c r="D200" s="96">
        <v>267100</v>
      </c>
      <c r="E200" s="100"/>
      <c r="F200" s="98">
        <f t="shared" si="3"/>
        <v>89979.93</v>
      </c>
      <c r="G200" s="111">
        <v>89979.93</v>
      </c>
      <c r="H200" s="100"/>
    </row>
    <row r="201" spans="1:9" ht="16.5">
      <c r="A201" s="18"/>
      <c r="B201" s="34" t="s">
        <v>2830</v>
      </c>
      <c r="C201" s="98">
        <f t="shared" si="2"/>
        <v>4000</v>
      </c>
      <c r="D201" s="96">
        <v>4000</v>
      </c>
      <c r="E201" s="100"/>
      <c r="F201" s="98">
        <f t="shared" si="3"/>
        <v>2170</v>
      </c>
      <c r="G201" s="111">
        <v>2170</v>
      </c>
      <c r="H201" s="100"/>
    </row>
    <row r="202" spans="1:9" ht="16.5">
      <c r="A202" s="18" t="s">
        <v>91</v>
      </c>
      <c r="B202" s="34" t="s">
        <v>2522</v>
      </c>
      <c r="C202" s="98">
        <f t="shared" si="2"/>
        <v>249600</v>
      </c>
      <c r="D202" s="96">
        <v>249600</v>
      </c>
      <c r="E202" s="100"/>
      <c r="F202" s="98">
        <f t="shared" si="3"/>
        <v>166216.44</v>
      </c>
      <c r="G202" s="111">
        <v>166216.44</v>
      </c>
      <c r="H202" s="100"/>
    </row>
    <row r="203" spans="1:9" ht="16.5">
      <c r="A203" s="18" t="s">
        <v>97</v>
      </c>
      <c r="B203" s="34" t="s">
        <v>2523</v>
      </c>
      <c r="C203" s="98">
        <f t="shared" si="2"/>
        <v>35700</v>
      </c>
      <c r="D203" s="96">
        <v>35700</v>
      </c>
      <c r="E203" s="100"/>
      <c r="F203" s="98">
        <f t="shared" si="3"/>
        <v>0</v>
      </c>
      <c r="G203" s="111"/>
      <c r="H203" s="100"/>
    </row>
    <row r="204" spans="1:9" ht="16.5">
      <c r="A204" s="19" t="s">
        <v>100</v>
      </c>
      <c r="B204" s="34" t="s">
        <v>2524</v>
      </c>
      <c r="C204" s="98">
        <f t="shared" si="2"/>
        <v>30300</v>
      </c>
      <c r="D204" s="96">
        <v>30300</v>
      </c>
      <c r="E204" s="100"/>
      <c r="F204" s="98">
        <f t="shared" si="3"/>
        <v>0</v>
      </c>
      <c r="G204" s="111"/>
      <c r="H204" s="100"/>
    </row>
    <row r="205" spans="1:9" ht="16.5">
      <c r="A205" s="18" t="s">
        <v>89</v>
      </c>
      <c r="B205" s="34" t="s">
        <v>2525</v>
      </c>
      <c r="C205" s="98">
        <f t="shared" si="2"/>
        <v>4500</v>
      </c>
      <c r="D205" s="96">
        <v>4500</v>
      </c>
      <c r="E205" s="100"/>
      <c r="F205" s="98">
        <f t="shared" si="3"/>
        <v>0</v>
      </c>
      <c r="G205" s="111"/>
      <c r="H205" s="100"/>
    </row>
    <row r="206" spans="1:9" ht="16.5">
      <c r="A206" s="18" t="s">
        <v>85</v>
      </c>
      <c r="B206" s="34" t="s">
        <v>2526</v>
      </c>
      <c r="C206" s="98">
        <f t="shared" si="2"/>
        <v>54000</v>
      </c>
      <c r="D206" s="96">
        <v>54000</v>
      </c>
      <c r="E206" s="100"/>
      <c r="F206" s="98">
        <f t="shared" si="3"/>
        <v>23520</v>
      </c>
      <c r="G206" s="111">
        <v>23520</v>
      </c>
      <c r="H206" s="100"/>
    </row>
    <row r="207" spans="1:9" ht="16.5">
      <c r="A207" s="18" t="s">
        <v>87</v>
      </c>
      <c r="B207" s="34" t="s">
        <v>2527</v>
      </c>
      <c r="C207" s="98">
        <f t="shared" si="2"/>
        <v>9900</v>
      </c>
      <c r="D207" s="96">
        <v>9900</v>
      </c>
      <c r="E207" s="100"/>
      <c r="F207" s="98">
        <f t="shared" si="3"/>
        <v>8000</v>
      </c>
      <c r="G207" s="111">
        <v>8000</v>
      </c>
      <c r="H207" s="100"/>
    </row>
    <row r="208" spans="1:9" ht="16.5">
      <c r="A208" s="18" t="s">
        <v>89</v>
      </c>
      <c r="B208" s="34" t="s">
        <v>2528</v>
      </c>
      <c r="C208" s="98">
        <f t="shared" si="2"/>
        <v>3700</v>
      </c>
      <c r="D208" s="96">
        <v>3700</v>
      </c>
      <c r="E208" s="100"/>
      <c r="F208" s="98">
        <f t="shared" si="3"/>
        <v>0</v>
      </c>
      <c r="G208" s="111"/>
      <c r="H208" s="100"/>
    </row>
    <row r="209" spans="1:21" ht="16.5">
      <c r="A209" s="18" t="s">
        <v>91</v>
      </c>
      <c r="B209" s="34" t="s">
        <v>2529</v>
      </c>
      <c r="C209" s="98">
        <f t="shared" si="2"/>
        <v>62400</v>
      </c>
      <c r="D209" s="96">
        <v>62400</v>
      </c>
      <c r="E209" s="100"/>
      <c r="F209" s="98">
        <f t="shared" si="3"/>
        <v>39480</v>
      </c>
      <c r="G209" s="111">
        <v>39480</v>
      </c>
      <c r="H209" s="100"/>
    </row>
    <row r="210" spans="1:21" ht="16.5">
      <c r="A210" s="18" t="s">
        <v>95</v>
      </c>
      <c r="B210" s="34" t="s">
        <v>2530</v>
      </c>
      <c r="C210" s="98">
        <f t="shared" si="2"/>
        <v>1000</v>
      </c>
      <c r="D210" s="96">
        <v>1000</v>
      </c>
      <c r="E210" s="100"/>
      <c r="F210" s="98">
        <f t="shared" si="3"/>
        <v>0</v>
      </c>
      <c r="G210" s="111"/>
      <c r="H210" s="100"/>
    </row>
    <row r="211" spans="1:21" ht="16.5">
      <c r="A211" s="18" t="s">
        <v>97</v>
      </c>
      <c r="B211" s="34" t="s">
        <v>2531</v>
      </c>
      <c r="C211" s="98">
        <f t="shared" si="2"/>
        <v>3700</v>
      </c>
      <c r="D211" s="96">
        <v>3700</v>
      </c>
      <c r="E211" s="100"/>
      <c r="F211" s="98">
        <f t="shared" si="3"/>
        <v>0</v>
      </c>
      <c r="G211" s="111"/>
      <c r="H211" s="100"/>
    </row>
    <row r="212" spans="1:21" ht="16.5">
      <c r="A212" s="19" t="s">
        <v>100</v>
      </c>
      <c r="B212" s="34" t="s">
        <v>2532</v>
      </c>
      <c r="C212" s="98">
        <f t="shared" si="2"/>
        <v>162179</v>
      </c>
      <c r="D212" s="96">
        <v>162179</v>
      </c>
      <c r="E212" s="100"/>
      <c r="F212" s="98">
        <f t="shared" si="3"/>
        <v>21125</v>
      </c>
      <c r="G212" s="111">
        <v>21125</v>
      </c>
      <c r="H212" s="100"/>
    </row>
    <row r="213" spans="1:21" ht="17.25" thickBot="1">
      <c r="A213" s="18" t="s">
        <v>95</v>
      </c>
      <c r="B213" s="34" t="s">
        <v>2533</v>
      </c>
      <c r="C213" s="113">
        <f t="shared" si="2"/>
        <v>3000</v>
      </c>
      <c r="D213" s="96">
        <v>3000</v>
      </c>
      <c r="E213" s="103"/>
      <c r="F213" s="113">
        <f t="shared" si="3"/>
        <v>199.66</v>
      </c>
      <c r="G213" s="115">
        <v>199.66</v>
      </c>
      <c r="H213" s="103"/>
    </row>
    <row r="214" spans="1:21" ht="32.25" thickBot="1">
      <c r="A214" s="282" t="s">
        <v>124</v>
      </c>
      <c r="B214" s="181" t="s">
        <v>125</v>
      </c>
      <c r="C214" s="150">
        <f t="shared" si="2"/>
        <v>0</v>
      </c>
      <c r="D214" s="649">
        <f>D215</f>
        <v>0</v>
      </c>
      <c r="E214" s="106">
        <f>E215</f>
        <v>0</v>
      </c>
      <c r="F214" s="150">
        <f t="shared" si="3"/>
        <v>0</v>
      </c>
      <c r="G214" s="107">
        <f>G215</f>
        <v>0</v>
      </c>
      <c r="H214" s="128">
        <f>mo!M111</f>
        <v>0</v>
      </c>
    </row>
    <row r="215" spans="1:21" ht="17.25" thickBot="1">
      <c r="A215" s="278" t="s">
        <v>95</v>
      </c>
      <c r="B215" s="36" t="s">
        <v>2681</v>
      </c>
      <c r="C215" s="113">
        <f t="shared" si="2"/>
        <v>0</v>
      </c>
      <c r="D215" s="130"/>
      <c r="E215" s="114">
        <f>mo!L111</f>
        <v>0</v>
      </c>
      <c r="F215" s="113">
        <f t="shared" si="3"/>
        <v>0</v>
      </c>
      <c r="G215" s="122"/>
      <c r="H215" s="182">
        <f>mo!M112</f>
        <v>0</v>
      </c>
    </row>
    <row r="216" spans="1:21" ht="17.25" thickBot="1">
      <c r="A216" s="282" t="s">
        <v>128</v>
      </c>
      <c r="B216" s="33" t="s">
        <v>1361</v>
      </c>
      <c r="C216" s="104">
        <f t="shared" si="2"/>
        <v>73000</v>
      </c>
      <c r="D216" s="105">
        <f>SUM(D217)</f>
        <v>50000</v>
      </c>
      <c r="E216" s="106">
        <f>E217</f>
        <v>23000</v>
      </c>
      <c r="F216" s="104">
        <f t="shared" si="3"/>
        <v>0</v>
      </c>
      <c r="G216" s="107">
        <f>SUM(G217)</f>
        <v>0</v>
      </c>
      <c r="H216" s="108">
        <f>mo!M113</f>
        <v>0</v>
      </c>
      <c r="L216" s="4"/>
      <c r="M216" s="4"/>
      <c r="N216" s="4"/>
      <c r="O216" s="4"/>
      <c r="P216" s="4"/>
      <c r="Q216" s="4"/>
      <c r="R216" s="4"/>
      <c r="S216" s="4"/>
      <c r="T216" s="4"/>
      <c r="U216" s="4"/>
    </row>
    <row r="217" spans="1:21" ht="17.25" thickBot="1">
      <c r="A217" s="278" t="s">
        <v>95</v>
      </c>
      <c r="B217" s="36" t="s">
        <v>2799</v>
      </c>
      <c r="C217" s="104">
        <f t="shared" si="2"/>
        <v>73000</v>
      </c>
      <c r="D217" s="121">
        <v>50000</v>
      </c>
      <c r="E217" s="114">
        <f>mo!L114</f>
        <v>23000</v>
      </c>
      <c r="F217" s="104">
        <f t="shared" si="3"/>
        <v>0</v>
      </c>
      <c r="G217" s="122"/>
      <c r="H217" s="131">
        <f>mo!M114</f>
        <v>0</v>
      </c>
      <c r="L217" s="4"/>
      <c r="M217" s="4"/>
      <c r="N217" s="4"/>
      <c r="O217" s="4"/>
      <c r="P217" s="4"/>
      <c r="Q217" s="4"/>
      <c r="R217" s="4"/>
      <c r="S217" s="4"/>
      <c r="T217" s="4"/>
      <c r="U217" s="4"/>
    </row>
    <row r="218" spans="1:21" ht="32.25" thickBot="1">
      <c r="A218" s="282" t="s">
        <v>129</v>
      </c>
      <c r="B218" s="33" t="s">
        <v>751</v>
      </c>
      <c r="C218" s="104">
        <f t="shared" si="2"/>
        <v>22588600</v>
      </c>
      <c r="D218" s="105">
        <f>D219+D220+D221+D222+D223+D224+D228+D229+D230+D231+D232+D233+D234+D235+D236+D237+D239+D240+D241</f>
        <v>22585800</v>
      </c>
      <c r="E218" s="106">
        <f>E240</f>
        <v>2800</v>
      </c>
      <c r="F218" s="104">
        <f t="shared" si="3"/>
        <v>7855463.8400000017</v>
      </c>
      <c r="G218" s="105">
        <f>G219+G220+G221+G222+G223+G224+G228+G229+G230+G231+G232+G233+G234+G235+G236+G237+G239+G240+G241</f>
        <v>7855463.8400000017</v>
      </c>
      <c r="H218" s="128">
        <f>H241</f>
        <v>0</v>
      </c>
      <c r="L218" s="4"/>
      <c r="M218" s="4"/>
      <c r="N218" s="4"/>
      <c r="O218" s="4"/>
      <c r="P218" s="4"/>
      <c r="Q218" s="4"/>
      <c r="R218" s="4"/>
      <c r="S218" s="4"/>
      <c r="T218" s="4"/>
      <c r="U218" s="4"/>
    </row>
    <row r="219" spans="1:21" ht="16.5">
      <c r="A219" s="17" t="s">
        <v>77</v>
      </c>
      <c r="B219" s="477" t="s">
        <v>2534</v>
      </c>
      <c r="C219" s="95">
        <f t="shared" si="2"/>
        <v>7770000</v>
      </c>
      <c r="D219" s="154">
        <v>7770000</v>
      </c>
      <c r="E219" s="155"/>
      <c r="F219" s="95">
        <f t="shared" si="3"/>
        <v>4392100</v>
      </c>
      <c r="G219" s="2003">
        <v>4392100</v>
      </c>
      <c r="H219" s="2004"/>
      <c r="L219" s="4"/>
      <c r="M219" s="4"/>
      <c r="N219" s="4"/>
      <c r="O219" s="4"/>
      <c r="P219" s="4"/>
      <c r="Q219" s="4"/>
      <c r="R219" s="4"/>
      <c r="S219" s="4"/>
      <c r="T219" s="4"/>
      <c r="U219" s="4"/>
    </row>
    <row r="220" spans="1:21" ht="16.5">
      <c r="A220" s="18" t="s">
        <v>81</v>
      </c>
      <c r="B220" s="477" t="s">
        <v>3264</v>
      </c>
      <c r="C220" s="98">
        <f t="shared" si="2"/>
        <v>2354000</v>
      </c>
      <c r="D220" s="154">
        <v>2354000</v>
      </c>
      <c r="E220" s="126"/>
      <c r="F220" s="98">
        <f t="shared" si="3"/>
        <v>1350636.49</v>
      </c>
      <c r="G220" s="499">
        <v>1350636.49</v>
      </c>
      <c r="H220" s="2005"/>
      <c r="L220" s="4"/>
      <c r="M220" s="4"/>
      <c r="N220" s="4"/>
      <c r="O220" s="4"/>
      <c r="P220" s="4"/>
      <c r="Q220" s="4"/>
      <c r="R220" s="4"/>
      <c r="S220" s="4"/>
      <c r="T220" s="4"/>
      <c r="U220" s="4"/>
    </row>
    <row r="221" spans="1:21" ht="16.5">
      <c r="A221" s="18" t="s">
        <v>79</v>
      </c>
      <c r="B221" s="477" t="s">
        <v>2535</v>
      </c>
      <c r="C221" s="98">
        <f t="shared" si="2"/>
        <v>615700</v>
      </c>
      <c r="D221" s="154">
        <v>615700</v>
      </c>
      <c r="E221" s="126"/>
      <c r="F221" s="98">
        <f t="shared" si="3"/>
        <v>15280</v>
      </c>
      <c r="G221" s="499">
        <v>15280</v>
      </c>
      <c r="H221" s="2005"/>
      <c r="L221" s="4"/>
      <c r="M221" s="4"/>
      <c r="N221" s="4"/>
      <c r="O221" s="4"/>
      <c r="P221" s="4"/>
      <c r="Q221" s="4"/>
      <c r="R221" s="4"/>
      <c r="S221" s="4"/>
      <c r="T221" s="4"/>
      <c r="U221" s="4"/>
    </row>
    <row r="222" spans="1:21" ht="16.5">
      <c r="A222" s="17" t="s">
        <v>77</v>
      </c>
      <c r="B222" s="477" t="s">
        <v>2536</v>
      </c>
      <c r="C222" s="98">
        <f t="shared" si="2"/>
        <v>3702567.82</v>
      </c>
      <c r="D222" s="154">
        <v>3702567.82</v>
      </c>
      <c r="E222" s="126"/>
      <c r="F222" s="98">
        <f t="shared" si="3"/>
        <v>1069819.82</v>
      </c>
      <c r="G222" s="499">
        <v>1069819.82</v>
      </c>
      <c r="H222" s="2005"/>
      <c r="L222" s="4"/>
      <c r="M222" s="4"/>
      <c r="N222" s="4"/>
      <c r="O222" s="4"/>
      <c r="P222" s="4"/>
      <c r="Q222" s="4"/>
      <c r="R222" s="4"/>
      <c r="S222" s="4"/>
      <c r="T222" s="4"/>
      <c r="U222" s="4"/>
    </row>
    <row r="223" spans="1:21" ht="16.5">
      <c r="A223" s="18" t="s">
        <v>81</v>
      </c>
      <c r="B223" s="477" t="s">
        <v>3265</v>
      </c>
      <c r="C223" s="98">
        <f t="shared" si="2"/>
        <v>1000087.2</v>
      </c>
      <c r="D223" s="154">
        <v>1000087.2</v>
      </c>
      <c r="E223" s="126"/>
      <c r="F223" s="98">
        <f t="shared" si="3"/>
        <v>323086.2</v>
      </c>
      <c r="G223" s="499">
        <v>323086.2</v>
      </c>
      <c r="H223" s="2005"/>
      <c r="L223" s="4"/>
      <c r="M223" s="4"/>
      <c r="N223" s="4"/>
      <c r="O223" s="4"/>
      <c r="P223" s="4"/>
      <c r="Q223" s="4"/>
      <c r="R223" s="4"/>
      <c r="S223" s="4"/>
      <c r="T223" s="4"/>
      <c r="U223" s="4"/>
    </row>
    <row r="224" spans="1:21" ht="16.5">
      <c r="A224" s="18" t="s">
        <v>79</v>
      </c>
      <c r="B224" s="477" t="s">
        <v>2537</v>
      </c>
      <c r="C224" s="98">
        <f t="shared" si="2"/>
        <v>37460</v>
      </c>
      <c r="D224" s="154">
        <v>37460</v>
      </c>
      <c r="E224" s="126"/>
      <c r="F224" s="98">
        <f t="shared" si="3"/>
        <v>0</v>
      </c>
      <c r="G224" s="499"/>
      <c r="H224" s="2005"/>
      <c r="L224" s="4"/>
      <c r="M224" s="4"/>
      <c r="N224" s="4"/>
      <c r="O224" s="4"/>
      <c r="P224" s="4"/>
      <c r="Q224" s="4"/>
      <c r="R224" s="4"/>
      <c r="S224" s="4"/>
      <c r="T224" s="4"/>
      <c r="U224" s="4"/>
    </row>
    <row r="225" spans="1:21" ht="16.5">
      <c r="A225" s="18"/>
      <c r="B225" s="477" t="s">
        <v>3311</v>
      </c>
      <c r="C225" s="98"/>
      <c r="D225" s="154">
        <f>D228+D229+D230+D231+D232</f>
        <v>517364.63</v>
      </c>
      <c r="E225" s="126"/>
      <c r="F225" s="98"/>
      <c r="G225" s="154">
        <f>G228+G229+G230+G231+G232</f>
        <v>101223.15</v>
      </c>
      <c r="H225" s="2005"/>
      <c r="L225" s="4"/>
      <c r="M225" s="4"/>
      <c r="N225" s="4"/>
      <c r="O225" s="4"/>
      <c r="P225" s="4"/>
      <c r="Q225" s="4"/>
      <c r="R225" s="4"/>
      <c r="S225" s="4"/>
      <c r="T225" s="4"/>
      <c r="U225" s="4"/>
    </row>
    <row r="226" spans="1:21" ht="16.5">
      <c r="A226" s="18"/>
      <c r="B226" s="477" t="s">
        <v>3312</v>
      </c>
      <c r="C226" s="98"/>
      <c r="D226" s="154">
        <f>D233+D234+D235+D236+D237+D238+D239+D240</f>
        <v>6364220.3499999996</v>
      </c>
      <c r="E226" s="126"/>
      <c r="F226" s="98"/>
      <c r="G226" s="154">
        <f>G233+G234+G235+G236+G237+G238+G239+G240</f>
        <v>539959.53</v>
      </c>
      <c r="H226" s="2005"/>
      <c r="L226" s="4"/>
      <c r="M226" s="4"/>
      <c r="N226" s="4"/>
      <c r="O226" s="4"/>
      <c r="P226" s="4"/>
      <c r="Q226" s="4"/>
      <c r="R226" s="4"/>
      <c r="S226" s="4"/>
      <c r="T226" s="4"/>
      <c r="U226" s="4"/>
    </row>
    <row r="227" spans="1:21" ht="16.5">
      <c r="A227" s="18"/>
      <c r="B227" s="477" t="s">
        <v>3313</v>
      </c>
      <c r="C227" s="98"/>
      <c r="D227" s="154">
        <f>D241</f>
        <v>224400</v>
      </c>
      <c r="E227" s="126"/>
      <c r="F227" s="98"/>
      <c r="G227" s="154">
        <f>G241</f>
        <v>63358.65</v>
      </c>
      <c r="H227" s="2005"/>
      <c r="I227" s="547"/>
      <c r="L227" s="4"/>
      <c r="M227" s="4"/>
      <c r="N227" s="4"/>
      <c r="O227" s="4"/>
      <c r="P227" s="4"/>
      <c r="Q227" s="4"/>
      <c r="R227" s="4"/>
      <c r="S227" s="4"/>
      <c r="T227" s="4"/>
      <c r="U227" s="4"/>
    </row>
    <row r="228" spans="1:21" ht="16.5">
      <c r="A228" s="18" t="s">
        <v>83</v>
      </c>
      <c r="B228" s="34" t="s">
        <v>2538</v>
      </c>
      <c r="C228" s="98">
        <f t="shared" ref="C228:C411" si="4">D228+E228</f>
        <v>144880.39000000001</v>
      </c>
      <c r="D228" s="96">
        <v>144880.39000000001</v>
      </c>
      <c r="E228" s="100"/>
      <c r="F228" s="98">
        <f t="shared" ref="F228:F411" si="5">G228+H228</f>
        <v>46594.48</v>
      </c>
      <c r="G228" s="111">
        <v>46594.48</v>
      </c>
      <c r="H228" s="133"/>
      <c r="L228" s="4"/>
      <c r="M228" s="4"/>
      <c r="N228" s="4"/>
      <c r="O228" s="4"/>
      <c r="P228" s="4"/>
      <c r="Q228" s="4"/>
      <c r="R228" s="4"/>
      <c r="S228" s="4"/>
      <c r="T228" s="4"/>
      <c r="U228" s="4"/>
    </row>
    <row r="229" spans="1:21" ht="16.5">
      <c r="A229" s="18" t="s">
        <v>89</v>
      </c>
      <c r="B229" s="34" t="s">
        <v>2539</v>
      </c>
      <c r="C229" s="98">
        <f t="shared" si="4"/>
        <v>10900</v>
      </c>
      <c r="D229" s="96">
        <v>10900</v>
      </c>
      <c r="E229" s="100"/>
      <c r="F229" s="98">
        <f t="shared" si="5"/>
        <v>0</v>
      </c>
      <c r="G229" s="111"/>
      <c r="H229" s="133"/>
      <c r="L229" s="4"/>
      <c r="M229" s="4"/>
      <c r="N229" s="4"/>
      <c r="O229" s="4"/>
      <c r="P229" s="4"/>
      <c r="Q229" s="4"/>
      <c r="R229" s="4"/>
      <c r="S229" s="4"/>
      <c r="T229" s="4"/>
      <c r="U229" s="4"/>
    </row>
    <row r="230" spans="1:21" ht="16.5">
      <c r="A230" s="18" t="s">
        <v>91</v>
      </c>
      <c r="B230" s="34" t="s">
        <v>2540</v>
      </c>
      <c r="C230" s="98">
        <f t="shared" si="4"/>
        <v>57494</v>
      </c>
      <c r="D230" s="96">
        <v>57494</v>
      </c>
      <c r="E230" s="100"/>
      <c r="F230" s="98">
        <f t="shared" si="5"/>
        <v>54628.67</v>
      </c>
      <c r="G230" s="111">
        <v>54628.67</v>
      </c>
      <c r="H230" s="133"/>
      <c r="L230" s="4"/>
      <c r="M230" s="4"/>
      <c r="N230" s="4"/>
      <c r="O230" s="4"/>
      <c r="P230" s="4"/>
      <c r="Q230" s="4"/>
      <c r="R230" s="4"/>
      <c r="S230" s="4"/>
      <c r="T230" s="4"/>
      <c r="U230" s="4"/>
    </row>
    <row r="231" spans="1:21" ht="16.5">
      <c r="A231" s="18" t="s">
        <v>97</v>
      </c>
      <c r="B231" s="34" t="s">
        <v>2541</v>
      </c>
      <c r="C231" s="98">
        <f t="shared" si="4"/>
        <v>263251</v>
      </c>
      <c r="D231" s="96">
        <v>263251</v>
      </c>
      <c r="E231" s="100"/>
      <c r="F231" s="98">
        <f t="shared" si="5"/>
        <v>0</v>
      </c>
      <c r="G231" s="111"/>
      <c r="H231" s="133"/>
      <c r="L231" s="4"/>
      <c r="M231" s="4"/>
      <c r="N231" s="4"/>
      <c r="O231" s="4"/>
      <c r="P231" s="4"/>
      <c r="Q231" s="4"/>
      <c r="R231" s="4"/>
      <c r="S231" s="4"/>
      <c r="T231" s="4"/>
      <c r="U231" s="4"/>
    </row>
    <row r="232" spans="1:21" ht="16.5">
      <c r="A232" s="19" t="s">
        <v>100</v>
      </c>
      <c r="B232" s="34" t="s">
        <v>2542</v>
      </c>
      <c r="C232" s="98">
        <f t="shared" si="4"/>
        <v>40839.24</v>
      </c>
      <c r="D232" s="96">
        <v>40839.24</v>
      </c>
      <c r="E232" s="100"/>
      <c r="F232" s="98">
        <f t="shared" si="5"/>
        <v>0</v>
      </c>
      <c r="G232" s="111"/>
      <c r="H232" s="133"/>
      <c r="L232" s="4"/>
      <c r="M232" s="4"/>
      <c r="N232" s="4"/>
      <c r="O232" s="4"/>
      <c r="P232" s="4"/>
      <c r="Q232" s="4"/>
      <c r="R232" s="4"/>
      <c r="S232" s="4"/>
      <c r="T232" s="4"/>
      <c r="U232" s="4"/>
    </row>
    <row r="233" spans="1:21" ht="16.5">
      <c r="A233" s="18" t="s">
        <v>83</v>
      </c>
      <c r="B233" s="34" t="s">
        <v>2543</v>
      </c>
      <c r="C233" s="98">
        <f t="shared" si="4"/>
        <v>9540</v>
      </c>
      <c r="D233" s="96">
        <v>9540</v>
      </c>
      <c r="E233" s="100"/>
      <c r="F233" s="98">
        <f t="shared" si="5"/>
        <v>5360</v>
      </c>
      <c r="G233" s="115">
        <v>5360</v>
      </c>
      <c r="H233" s="134"/>
      <c r="L233" s="4"/>
      <c r="M233" s="4"/>
      <c r="N233" s="4"/>
      <c r="O233" s="4"/>
      <c r="P233" s="4"/>
      <c r="Q233" s="4"/>
      <c r="R233" s="4"/>
      <c r="S233" s="4"/>
      <c r="T233" s="4"/>
      <c r="U233" s="4"/>
    </row>
    <row r="234" spans="1:21" ht="16.5">
      <c r="A234" s="18" t="s">
        <v>85</v>
      </c>
      <c r="B234" s="34" t="s">
        <v>2544</v>
      </c>
      <c r="C234" s="98">
        <f t="shared" si="4"/>
        <v>167600</v>
      </c>
      <c r="D234" s="96">
        <v>167600</v>
      </c>
      <c r="E234" s="100"/>
      <c r="F234" s="98">
        <f t="shared" si="5"/>
        <v>8260</v>
      </c>
      <c r="G234" s="115">
        <v>8260</v>
      </c>
      <c r="H234" s="134"/>
      <c r="L234" s="4"/>
      <c r="M234" s="4"/>
      <c r="N234" s="4"/>
      <c r="O234" s="4"/>
      <c r="P234" s="4"/>
      <c r="Q234" s="4"/>
      <c r="R234" s="4"/>
      <c r="S234" s="4"/>
      <c r="T234" s="4"/>
      <c r="U234" s="4"/>
    </row>
    <row r="235" spans="1:21" ht="16.5">
      <c r="A235" s="18" t="s">
        <v>87</v>
      </c>
      <c r="B235" s="34" t="s">
        <v>2545</v>
      </c>
      <c r="C235" s="98">
        <f t="shared" si="4"/>
        <v>316989</v>
      </c>
      <c r="D235" s="96">
        <v>316989</v>
      </c>
      <c r="E235" s="100"/>
      <c r="F235" s="98">
        <f t="shared" si="5"/>
        <v>143562.57</v>
      </c>
      <c r="G235" s="115">
        <v>143562.57</v>
      </c>
      <c r="H235" s="134"/>
      <c r="L235" s="4"/>
      <c r="M235" s="4"/>
      <c r="N235" s="4"/>
      <c r="O235" s="4"/>
      <c r="P235" s="4"/>
      <c r="Q235" s="4"/>
      <c r="R235" s="4"/>
      <c r="S235" s="4"/>
      <c r="T235" s="4"/>
      <c r="U235" s="4"/>
    </row>
    <row r="236" spans="1:21" ht="16.5">
      <c r="A236" s="18" t="s">
        <v>89</v>
      </c>
      <c r="B236" s="34" t="s">
        <v>2546</v>
      </c>
      <c r="C236" s="98">
        <f t="shared" si="4"/>
        <v>248220</v>
      </c>
      <c r="D236" s="96">
        <v>248220</v>
      </c>
      <c r="E236" s="100"/>
      <c r="F236" s="98">
        <f t="shared" si="5"/>
        <v>5126.75</v>
      </c>
      <c r="G236" s="115">
        <v>5126.75</v>
      </c>
      <c r="H236" s="134"/>
      <c r="L236" s="4"/>
      <c r="M236" s="4"/>
      <c r="N236" s="4"/>
      <c r="O236" s="4"/>
      <c r="P236" s="4"/>
      <c r="Q236" s="4"/>
      <c r="R236" s="4"/>
      <c r="S236" s="4"/>
      <c r="T236" s="4"/>
      <c r="U236" s="4"/>
    </row>
    <row r="237" spans="1:21" ht="16.5">
      <c r="A237" s="18" t="s">
        <v>91</v>
      </c>
      <c r="B237" s="34" t="s">
        <v>2547</v>
      </c>
      <c r="C237" s="98">
        <f t="shared" si="4"/>
        <v>996557</v>
      </c>
      <c r="D237" s="96">
        <v>996557</v>
      </c>
      <c r="E237" s="100"/>
      <c r="F237" s="98">
        <f t="shared" si="5"/>
        <v>182421.71</v>
      </c>
      <c r="G237" s="115">
        <v>182421.71</v>
      </c>
      <c r="H237" s="134"/>
      <c r="L237" s="4"/>
      <c r="M237" s="4"/>
      <c r="N237" s="4"/>
      <c r="O237" s="4"/>
      <c r="P237" s="4"/>
      <c r="Q237" s="4"/>
      <c r="R237" s="4"/>
      <c r="S237" s="4"/>
      <c r="T237" s="4"/>
      <c r="U237" s="4"/>
    </row>
    <row r="238" spans="1:21" ht="16.5">
      <c r="A238" s="18" t="s">
        <v>95</v>
      </c>
      <c r="B238" s="34" t="s">
        <v>2548</v>
      </c>
      <c r="C238" s="98">
        <f t="shared" si="4"/>
        <v>0</v>
      </c>
      <c r="D238" s="96"/>
      <c r="E238" s="100"/>
      <c r="F238" s="98">
        <f t="shared" si="5"/>
        <v>0</v>
      </c>
      <c r="G238" s="115"/>
      <c r="H238" s="134"/>
      <c r="L238" s="4"/>
      <c r="M238" s="4"/>
      <c r="N238" s="4"/>
      <c r="O238" s="4"/>
      <c r="P238" s="4"/>
      <c r="Q238" s="4"/>
      <c r="R238" s="4"/>
      <c r="S238" s="4"/>
      <c r="T238" s="4"/>
      <c r="U238" s="4"/>
    </row>
    <row r="239" spans="1:21" ht="16.5">
      <c r="A239" s="18" t="s">
        <v>97</v>
      </c>
      <c r="B239" s="34" t="s">
        <v>2549</v>
      </c>
      <c r="C239" s="98">
        <f t="shared" si="4"/>
        <v>158354</v>
      </c>
      <c r="D239" s="96">
        <v>158354</v>
      </c>
      <c r="E239" s="100"/>
      <c r="F239" s="98">
        <f t="shared" si="5"/>
        <v>22100</v>
      </c>
      <c r="G239" s="115">
        <v>22100</v>
      </c>
      <c r="H239" s="134"/>
      <c r="L239" s="4"/>
      <c r="M239" s="4"/>
      <c r="N239" s="4"/>
      <c r="O239" s="4"/>
      <c r="P239" s="4"/>
      <c r="Q239" s="4"/>
      <c r="R239" s="4"/>
      <c r="S239" s="4"/>
      <c r="T239" s="4"/>
      <c r="U239" s="4"/>
    </row>
    <row r="240" spans="1:21" ht="16.5">
      <c r="A240" s="19" t="s">
        <v>100</v>
      </c>
      <c r="B240" s="34" t="s">
        <v>2550</v>
      </c>
      <c r="C240" s="98">
        <f t="shared" si="4"/>
        <v>4469760.3499999996</v>
      </c>
      <c r="D240" s="96">
        <v>4466960.3499999996</v>
      </c>
      <c r="E240" s="114">
        <f>mo!L116</f>
        <v>2800</v>
      </c>
      <c r="F240" s="98">
        <f t="shared" si="5"/>
        <v>173128.5</v>
      </c>
      <c r="G240" s="115">
        <v>173128.5</v>
      </c>
      <c r="H240" s="134">
        <f>mo!M116</f>
        <v>0</v>
      </c>
      <c r="L240" s="4"/>
      <c r="M240" s="4"/>
      <c r="N240" s="4"/>
      <c r="O240" s="4"/>
      <c r="P240" s="4"/>
      <c r="Q240" s="4"/>
      <c r="R240" s="4"/>
      <c r="S240" s="4"/>
      <c r="T240" s="4"/>
      <c r="U240" s="4"/>
    </row>
    <row r="241" spans="1:21" ht="17.25" thickBot="1">
      <c r="A241" s="18" t="s">
        <v>95</v>
      </c>
      <c r="B241" s="34" t="s">
        <v>2551</v>
      </c>
      <c r="C241" s="101">
        <f t="shared" si="4"/>
        <v>224400</v>
      </c>
      <c r="D241" s="544">
        <v>224400</v>
      </c>
      <c r="E241" s="103"/>
      <c r="F241" s="98">
        <f t="shared" si="5"/>
        <v>63358.65</v>
      </c>
      <c r="G241" s="115">
        <v>63358.65</v>
      </c>
      <c r="H241" s="134"/>
      <c r="L241" s="4"/>
      <c r="M241" s="4"/>
      <c r="N241" s="4"/>
      <c r="O241" s="4"/>
      <c r="P241" s="4"/>
      <c r="Q241" s="4"/>
      <c r="R241" s="4"/>
      <c r="S241" s="4"/>
      <c r="T241" s="4"/>
      <c r="U241" s="4"/>
    </row>
    <row r="242" spans="1:21" ht="32.25" thickBot="1">
      <c r="A242" s="294" t="s">
        <v>26</v>
      </c>
      <c r="B242" s="37" t="s">
        <v>1367</v>
      </c>
      <c r="C242" s="135">
        <f t="shared" si="4"/>
        <v>639000</v>
      </c>
      <c r="D242" s="136">
        <f>SUM(D243:D251)</f>
        <v>0</v>
      </c>
      <c r="E242" s="136">
        <f>SUM(E243:E251)</f>
        <v>639000</v>
      </c>
      <c r="F242" s="421">
        <f t="shared" si="5"/>
        <v>17906.150000000009</v>
      </c>
      <c r="G242" s="137">
        <f>SUM(G243:G251)</f>
        <v>0</v>
      </c>
      <c r="H242" s="138">
        <f>mo!M117</f>
        <v>17906.150000000009</v>
      </c>
      <c r="L242" s="4"/>
      <c r="M242" s="4"/>
      <c r="N242" s="4"/>
      <c r="O242" s="4"/>
      <c r="P242" s="4"/>
      <c r="Q242" s="4"/>
      <c r="R242" s="4"/>
      <c r="S242" s="4"/>
      <c r="T242" s="4"/>
      <c r="U242" s="4"/>
    </row>
    <row r="243" spans="1:21" ht="16.5">
      <c r="A243" s="17" t="s">
        <v>77</v>
      </c>
      <c r="B243" s="42" t="s">
        <v>2724</v>
      </c>
      <c r="C243" s="95">
        <f t="shared" si="4"/>
        <v>454705</v>
      </c>
      <c r="D243" s="96"/>
      <c r="E243" s="97">
        <f>mo!L118</f>
        <v>454705</v>
      </c>
      <c r="F243" s="95">
        <f t="shared" si="5"/>
        <v>88485.71</v>
      </c>
      <c r="G243" s="109"/>
      <c r="H243" s="97">
        <f>mo!M118</f>
        <v>88485.71</v>
      </c>
    </row>
    <row r="244" spans="1:21" ht="16.5">
      <c r="A244" s="419" t="s">
        <v>81</v>
      </c>
      <c r="B244" s="43" t="s">
        <v>2725</v>
      </c>
      <c r="C244" s="98">
        <f t="shared" si="4"/>
        <v>137785</v>
      </c>
      <c r="D244" s="99"/>
      <c r="E244" s="97">
        <f>mo!L119</f>
        <v>137785</v>
      </c>
      <c r="F244" s="98">
        <f t="shared" si="5"/>
        <v>-70879.559999999983</v>
      </c>
      <c r="G244" s="111"/>
      <c r="H244" s="100">
        <f>mo!M119</f>
        <v>-70879.559999999983</v>
      </c>
    </row>
    <row r="245" spans="1:21" ht="16.5">
      <c r="A245" s="18" t="s">
        <v>79</v>
      </c>
      <c r="B245" s="43" t="s">
        <v>2801</v>
      </c>
      <c r="C245" s="98">
        <f t="shared" si="4"/>
        <v>0</v>
      </c>
      <c r="D245" s="99"/>
      <c r="E245" s="97">
        <f>mo!L120</f>
        <v>0</v>
      </c>
      <c r="F245" s="98">
        <f t="shared" si="5"/>
        <v>300</v>
      </c>
      <c r="G245" s="111"/>
      <c r="H245" s="100">
        <f>mo!M120</f>
        <v>300</v>
      </c>
    </row>
    <row r="246" spans="1:21" ht="16.5">
      <c r="A246" s="419" t="s">
        <v>83</v>
      </c>
      <c r="B246" s="43" t="s">
        <v>2726</v>
      </c>
      <c r="C246" s="98">
        <f t="shared" si="4"/>
        <v>9900</v>
      </c>
      <c r="D246" s="99"/>
      <c r="E246" s="97">
        <f>mo!L123</f>
        <v>9900</v>
      </c>
      <c r="F246" s="98">
        <f t="shared" si="5"/>
        <v>0</v>
      </c>
      <c r="G246" s="111"/>
      <c r="H246" s="100">
        <f>mo!M123</f>
        <v>0</v>
      </c>
    </row>
    <row r="247" spans="1:21" ht="16.5">
      <c r="A247" s="419" t="s">
        <v>85</v>
      </c>
      <c r="B247" s="43" t="s">
        <v>2727</v>
      </c>
      <c r="C247" s="98">
        <f t="shared" si="4"/>
        <v>15000</v>
      </c>
      <c r="D247" s="99"/>
      <c r="E247" s="97">
        <f>mo!L124</f>
        <v>15000</v>
      </c>
      <c r="F247" s="98">
        <f>G247+H247</f>
        <v>0</v>
      </c>
      <c r="G247" s="111"/>
      <c r="H247" s="103">
        <f>mo!M124</f>
        <v>0</v>
      </c>
    </row>
    <row r="248" spans="1:21" ht="16.5">
      <c r="A248" s="18" t="s">
        <v>85</v>
      </c>
      <c r="B248" s="43" t="s">
        <v>2802</v>
      </c>
      <c r="C248" s="98">
        <f t="shared" si="4"/>
        <v>4100</v>
      </c>
      <c r="D248" s="99"/>
      <c r="E248" s="97">
        <f>mo!L125</f>
        <v>4100</v>
      </c>
      <c r="F248" s="98">
        <f>G248+H248</f>
        <v>0</v>
      </c>
      <c r="G248" s="139"/>
      <c r="H248" s="103">
        <f>mo!M125</f>
        <v>0</v>
      </c>
    </row>
    <row r="249" spans="1:21" ht="16.5">
      <c r="A249" s="18" t="s">
        <v>740</v>
      </c>
      <c r="B249" s="43" t="s">
        <v>2803</v>
      </c>
      <c r="C249" s="98">
        <f t="shared" si="4"/>
        <v>3100</v>
      </c>
      <c r="D249" s="99"/>
      <c r="E249" s="97">
        <f>mo!L126</f>
        <v>3100</v>
      </c>
      <c r="F249" s="98">
        <f>G249+H249</f>
        <v>0</v>
      </c>
      <c r="G249" s="139"/>
      <c r="H249" s="103">
        <f>mo!M126</f>
        <v>0</v>
      </c>
    </row>
    <row r="250" spans="1:21" ht="16.5">
      <c r="A250" s="419" t="s">
        <v>91</v>
      </c>
      <c r="B250" s="43" t="s">
        <v>2728</v>
      </c>
      <c r="C250" s="98">
        <f t="shared" si="4"/>
        <v>6000</v>
      </c>
      <c r="D250" s="99"/>
      <c r="E250" s="97">
        <f>mo!L127</f>
        <v>6000</v>
      </c>
      <c r="F250" s="98">
        <f t="shared" si="5"/>
        <v>0</v>
      </c>
      <c r="G250" s="139"/>
      <c r="H250" s="100">
        <f>mo!M127</f>
        <v>0</v>
      </c>
    </row>
    <row r="251" spans="1:21" ht="17.25" thickBot="1">
      <c r="A251" s="19" t="s">
        <v>100</v>
      </c>
      <c r="B251" s="42" t="s">
        <v>2729</v>
      </c>
      <c r="C251" s="98">
        <f t="shared" si="4"/>
        <v>8410</v>
      </c>
      <c r="D251" s="99"/>
      <c r="E251" s="97">
        <f>mo!L128</f>
        <v>8410</v>
      </c>
      <c r="F251" s="98">
        <f t="shared" si="5"/>
        <v>0</v>
      </c>
      <c r="G251" s="111"/>
      <c r="H251" s="97">
        <f>mo!M128</f>
        <v>0</v>
      </c>
    </row>
    <row r="252" spans="1:21" ht="32.25" thickBot="1">
      <c r="A252" s="294" t="s">
        <v>130</v>
      </c>
      <c r="B252" s="27" t="s">
        <v>131</v>
      </c>
      <c r="C252" s="135">
        <f t="shared" si="4"/>
        <v>3861233</v>
      </c>
      <c r="D252" s="140">
        <f>SUM(D253:D263)</f>
        <v>2091233</v>
      </c>
      <c r="E252" s="140">
        <f>SUM(E253:E263)</f>
        <v>1770000</v>
      </c>
      <c r="F252" s="135">
        <f t="shared" si="5"/>
        <v>409565.06</v>
      </c>
      <c r="G252" s="140">
        <f>SUM(G253:G263)</f>
        <v>375458.56</v>
      </c>
      <c r="H252" s="141">
        <f>SUM(H255:H263)</f>
        <v>34106.5</v>
      </c>
    </row>
    <row r="253" spans="1:21" ht="17.25" thickBot="1">
      <c r="A253" s="17" t="s">
        <v>77</v>
      </c>
      <c r="B253" s="34" t="s">
        <v>132</v>
      </c>
      <c r="C253" s="95">
        <f t="shared" si="4"/>
        <v>1282974</v>
      </c>
      <c r="D253" s="96">
        <f>D298</f>
        <v>1282974</v>
      </c>
      <c r="E253" s="1771"/>
      <c r="F253" s="95">
        <f t="shared" si="5"/>
        <v>277678.56</v>
      </c>
      <c r="G253" s="96">
        <f>G298</f>
        <v>277678.56</v>
      </c>
      <c r="H253" s="1771"/>
    </row>
    <row r="254" spans="1:21" ht="16.5">
      <c r="A254" s="17"/>
      <c r="B254" s="34" t="s">
        <v>2834</v>
      </c>
      <c r="C254" s="95">
        <f t="shared" si="4"/>
        <v>387459</v>
      </c>
      <c r="D254" s="96">
        <f>D299</f>
        <v>387459</v>
      </c>
      <c r="E254" s="1771"/>
      <c r="F254" s="98">
        <f t="shared" si="5"/>
        <v>81700</v>
      </c>
      <c r="G254" s="96">
        <f>G299</f>
        <v>81700</v>
      </c>
      <c r="H254" s="1771"/>
    </row>
    <row r="255" spans="1:21" ht="16.5">
      <c r="A255" s="18" t="s">
        <v>79</v>
      </c>
      <c r="B255" s="31" t="s">
        <v>133</v>
      </c>
      <c r="C255" s="98">
        <f t="shared" si="4"/>
        <v>50000</v>
      </c>
      <c r="D255" s="99">
        <f>D273+D300</f>
        <v>50000</v>
      </c>
      <c r="E255" s="1772">
        <f>E273+E300</f>
        <v>0</v>
      </c>
      <c r="F255" s="98">
        <f t="shared" si="5"/>
        <v>0</v>
      </c>
      <c r="G255" s="99">
        <f>G273+G300</f>
        <v>0</v>
      </c>
      <c r="H255" s="1772">
        <f>H273+H300</f>
        <v>0</v>
      </c>
    </row>
    <row r="256" spans="1:21" ht="16.5">
      <c r="A256" s="18"/>
      <c r="B256" s="31" t="s">
        <v>3270</v>
      </c>
      <c r="C256" s="98">
        <f t="shared" si="4"/>
        <v>22000</v>
      </c>
      <c r="D256" s="99">
        <f>D303</f>
        <v>22000</v>
      </c>
      <c r="E256" s="1772"/>
      <c r="F256" s="98">
        <f t="shared" si="5"/>
        <v>0</v>
      </c>
      <c r="G256" s="99">
        <f>G303</f>
        <v>0</v>
      </c>
      <c r="H256" s="1772"/>
    </row>
    <row r="257" spans="1:8" ht="16.5">
      <c r="A257" s="18" t="s">
        <v>85</v>
      </c>
      <c r="B257" s="31" t="s">
        <v>1725</v>
      </c>
      <c r="C257" s="98">
        <f t="shared" si="4"/>
        <v>189000</v>
      </c>
      <c r="D257" s="99">
        <f>D279+D305</f>
        <v>19000</v>
      </c>
      <c r="E257" s="1772">
        <f>E279+E305+E291</f>
        <v>170000</v>
      </c>
      <c r="F257" s="98">
        <f t="shared" si="5"/>
        <v>24787.42</v>
      </c>
      <c r="G257" s="99">
        <f>G279+G305</f>
        <v>16080</v>
      </c>
      <c r="H257" s="1772">
        <f>H279+H305+H291</f>
        <v>8707.42</v>
      </c>
    </row>
    <row r="258" spans="1:8" ht="16.5">
      <c r="A258" s="18"/>
      <c r="B258" s="32" t="s">
        <v>2157</v>
      </c>
      <c r="C258" s="98">
        <f t="shared" si="4"/>
        <v>16000</v>
      </c>
      <c r="D258" s="102"/>
      <c r="E258" s="1773">
        <f>E276+E280+E287+E292</f>
        <v>16000</v>
      </c>
      <c r="F258" s="98">
        <f>G258+H258</f>
        <v>0</v>
      </c>
      <c r="G258" s="102"/>
      <c r="H258" s="1773">
        <f>H276+H280+H287+H292</f>
        <v>0</v>
      </c>
    </row>
    <row r="259" spans="1:8" ht="16.5">
      <c r="A259" s="18" t="s">
        <v>91</v>
      </c>
      <c r="B259" s="32" t="s">
        <v>2159</v>
      </c>
      <c r="C259" s="98">
        <f t="shared" si="4"/>
        <v>685000</v>
      </c>
      <c r="D259" s="102">
        <f>D265+D281+D306+D293</f>
        <v>16000</v>
      </c>
      <c r="E259" s="1773">
        <f>E265+E281+E306+E288+E277+E293</f>
        <v>669000</v>
      </c>
      <c r="F259" s="98">
        <f>G259+H259</f>
        <v>25399.08</v>
      </c>
      <c r="G259" s="102">
        <f>G265+G281+G306</f>
        <v>0</v>
      </c>
      <c r="H259" s="1773">
        <f>H265+H281+H306+H288+H277+H293</f>
        <v>25399.08</v>
      </c>
    </row>
    <row r="260" spans="1:8" ht="16.5">
      <c r="A260" s="18" t="s">
        <v>201</v>
      </c>
      <c r="B260" s="32" t="s">
        <v>240</v>
      </c>
      <c r="C260" s="98">
        <f t="shared" si="4"/>
        <v>0</v>
      </c>
      <c r="D260" s="102"/>
      <c r="E260" s="1773"/>
      <c r="F260" s="98">
        <f>G260</f>
        <v>0</v>
      </c>
      <c r="G260" s="102"/>
      <c r="H260" s="1773"/>
    </row>
    <row r="261" spans="1:8" ht="16.5">
      <c r="A261" s="18"/>
      <c r="B261" s="32" t="s">
        <v>2815</v>
      </c>
      <c r="C261" s="98">
        <f t="shared" si="4"/>
        <v>30000</v>
      </c>
      <c r="D261" s="102">
        <f>D267</f>
        <v>10000</v>
      </c>
      <c r="E261" s="1773">
        <f>E294</f>
        <v>20000</v>
      </c>
      <c r="F261" s="98">
        <f>G261</f>
        <v>0</v>
      </c>
      <c r="G261" s="102">
        <f>G267</f>
        <v>0</v>
      </c>
      <c r="H261" s="1773">
        <f>H294</f>
        <v>0</v>
      </c>
    </row>
    <row r="262" spans="1:8" ht="16.5">
      <c r="A262" s="18" t="s">
        <v>97</v>
      </c>
      <c r="B262" s="32" t="s">
        <v>1589</v>
      </c>
      <c r="C262" s="98">
        <f t="shared" si="4"/>
        <v>892000</v>
      </c>
      <c r="D262" s="102">
        <f>D282+D307+D295</f>
        <v>227000</v>
      </c>
      <c r="E262" s="1773">
        <f>E282+E307+E289+E295</f>
        <v>665000</v>
      </c>
      <c r="F262" s="98">
        <f>G262+H262</f>
        <v>0</v>
      </c>
      <c r="G262" s="102">
        <f>G282+G307+G295</f>
        <v>0</v>
      </c>
      <c r="H262" s="1773">
        <f>H282+H307+H289+H295</f>
        <v>0</v>
      </c>
    </row>
    <row r="263" spans="1:8" ht="17.25" thickBot="1">
      <c r="A263" s="19" t="s">
        <v>100</v>
      </c>
      <c r="B263" s="32" t="s">
        <v>2158</v>
      </c>
      <c r="C263" s="101">
        <f t="shared" si="4"/>
        <v>306800</v>
      </c>
      <c r="D263" s="102">
        <f>D266+D283+D308+D304+D296</f>
        <v>76800</v>
      </c>
      <c r="E263" s="1773">
        <f>E266+E283+E308+E304+E296+E278+E290</f>
        <v>230000</v>
      </c>
      <c r="F263" s="101">
        <f t="shared" si="5"/>
        <v>0</v>
      </c>
      <c r="G263" s="102">
        <f>G266+G283+G308+G304</f>
        <v>0</v>
      </c>
      <c r="H263" s="1773">
        <f>H266+H283+H308+H304+H296+H278+H290</f>
        <v>0</v>
      </c>
    </row>
    <row r="264" spans="1:8" ht="17.25" thickBot="1">
      <c r="A264" s="279" t="s">
        <v>134</v>
      </c>
      <c r="B264" s="47" t="s">
        <v>135</v>
      </c>
      <c r="C264" s="104">
        <f t="shared" si="4"/>
        <v>29800</v>
      </c>
      <c r="D264" s="142">
        <f>D265+D266+D267+D268+D271+D269+D270</f>
        <v>29800</v>
      </c>
      <c r="E264" s="143"/>
      <c r="F264" s="104">
        <f t="shared" si="5"/>
        <v>0</v>
      </c>
      <c r="G264" s="142">
        <f>SUM(G265:G271)</f>
        <v>0</v>
      </c>
      <c r="H264" s="144"/>
    </row>
    <row r="265" spans="1:8" ht="16.5">
      <c r="A265" s="18" t="s">
        <v>91</v>
      </c>
      <c r="B265" s="38" t="s">
        <v>2553</v>
      </c>
      <c r="C265" s="95">
        <f>D265+E265</f>
        <v>0</v>
      </c>
      <c r="D265" s="96">
        <v>0</v>
      </c>
      <c r="E265" s="97"/>
      <c r="F265" s="95">
        <f t="shared" si="5"/>
        <v>0</v>
      </c>
      <c r="G265" s="96"/>
      <c r="H265" s="145"/>
    </row>
    <row r="266" spans="1:8" ht="16.5">
      <c r="A266" s="19" t="s">
        <v>100</v>
      </c>
      <c r="B266" s="38" t="s">
        <v>2554</v>
      </c>
      <c r="C266" s="98">
        <f t="shared" si="4"/>
        <v>19800</v>
      </c>
      <c r="D266" s="102">
        <v>19800</v>
      </c>
      <c r="E266" s="103"/>
      <c r="F266" s="98">
        <f t="shared" si="5"/>
        <v>0</v>
      </c>
      <c r="G266" s="102"/>
      <c r="H266" s="146"/>
    </row>
    <row r="267" spans="1:8" ht="16.5">
      <c r="A267" s="18"/>
      <c r="B267" s="38" t="s">
        <v>3314</v>
      </c>
      <c r="C267" s="98">
        <f>D267+E267</f>
        <v>10000</v>
      </c>
      <c r="D267" s="99">
        <v>10000</v>
      </c>
      <c r="E267" s="100"/>
      <c r="F267" s="98">
        <f t="shared" si="5"/>
        <v>0</v>
      </c>
      <c r="G267" s="99"/>
      <c r="H267" s="147"/>
    </row>
    <row r="268" spans="1:8" ht="16.5">
      <c r="A268" s="18"/>
      <c r="B268" s="38" t="s">
        <v>2552</v>
      </c>
      <c r="C268" s="98">
        <f t="shared" si="4"/>
        <v>0</v>
      </c>
      <c r="D268" s="102"/>
      <c r="E268" s="103"/>
      <c r="F268" s="98">
        <f>G268</f>
        <v>0</v>
      </c>
      <c r="G268" s="102"/>
      <c r="H268" s="146"/>
    </row>
    <row r="269" spans="1:8" ht="16.5">
      <c r="A269" s="18"/>
      <c r="B269" s="38" t="s">
        <v>2552</v>
      </c>
      <c r="C269" s="98">
        <f t="shared" si="4"/>
        <v>0</v>
      </c>
      <c r="D269" s="102"/>
      <c r="E269" s="103"/>
      <c r="F269" s="98">
        <f>G269</f>
        <v>0</v>
      </c>
      <c r="G269" s="102"/>
      <c r="H269" s="146"/>
    </row>
    <row r="270" spans="1:8" ht="16.5">
      <c r="A270" s="18"/>
      <c r="B270" s="38" t="s">
        <v>2552</v>
      </c>
      <c r="C270" s="98">
        <f t="shared" si="4"/>
        <v>0</v>
      </c>
      <c r="D270" s="102"/>
      <c r="E270" s="103"/>
      <c r="F270" s="98">
        <f>G270+H270</f>
        <v>0</v>
      </c>
      <c r="G270" s="102"/>
      <c r="H270" s="146"/>
    </row>
    <row r="271" spans="1:8" ht="17.25" thickBot="1">
      <c r="A271" s="19"/>
      <c r="B271" s="38" t="s">
        <v>2552</v>
      </c>
      <c r="C271" s="149">
        <f t="shared" si="4"/>
        <v>0</v>
      </c>
      <c r="D271" s="102"/>
      <c r="E271" s="103"/>
      <c r="F271" s="113">
        <f t="shared" si="5"/>
        <v>0</v>
      </c>
      <c r="G271" s="102"/>
      <c r="H271" s="146"/>
    </row>
    <row r="272" spans="1:8" ht="63.75" thickBot="1">
      <c r="A272" s="280" t="s">
        <v>2040</v>
      </c>
      <c r="B272" s="183" t="s">
        <v>2155</v>
      </c>
      <c r="C272" s="150">
        <f t="shared" si="4"/>
        <v>1104000</v>
      </c>
      <c r="D272" s="129">
        <f>D273+D276+D277+D278+D279+D280+D281+D282+D283</f>
        <v>224000</v>
      </c>
      <c r="E272" s="129">
        <f>E273+E276+E277+E278+E279+E280+E281+E282+E283</f>
        <v>880000</v>
      </c>
      <c r="F272" s="150">
        <f t="shared" si="5"/>
        <v>34106.5</v>
      </c>
      <c r="G272" s="129">
        <f>G273+G276+G277+G278+G279+G280+G281+G282+G283</f>
        <v>0</v>
      </c>
      <c r="H272" s="129">
        <f>H273+H276+H277+H278+H279+H280+H281+H282+H283</f>
        <v>34106.5</v>
      </c>
    </row>
    <row r="273" spans="1:8" ht="16.5">
      <c r="A273" s="2006" t="s">
        <v>79</v>
      </c>
      <c r="B273" s="477" t="s">
        <v>2555</v>
      </c>
      <c r="C273" s="151">
        <f t="shared" si="4"/>
        <v>0</v>
      </c>
      <c r="D273" s="1110">
        <v>0</v>
      </c>
      <c r="E273" s="155"/>
      <c r="F273" s="151">
        <f>G273</f>
        <v>0</v>
      </c>
      <c r="G273" s="1110"/>
      <c r="H273" s="155"/>
    </row>
    <row r="274" spans="1:8" ht="16.5">
      <c r="A274" s="2006"/>
      <c r="B274" s="477" t="s">
        <v>3315</v>
      </c>
      <c r="C274" s="151"/>
      <c r="D274" s="1110">
        <f>D276+D277+D278</f>
        <v>0</v>
      </c>
      <c r="E274" s="155"/>
      <c r="F274" s="151"/>
      <c r="G274" s="1110">
        <f>G276+G277+G278</f>
        <v>0</v>
      </c>
      <c r="H274" s="155"/>
    </row>
    <row r="275" spans="1:8" ht="16.5">
      <c r="A275" s="2006"/>
      <c r="B275" s="477" t="s">
        <v>3316</v>
      </c>
      <c r="C275" s="151"/>
      <c r="D275" s="1110">
        <f>D279+D280+D281+D282+D283</f>
        <v>224000</v>
      </c>
      <c r="E275" s="155"/>
      <c r="F275" s="151"/>
      <c r="G275" s="1110">
        <f>G279+G280+G281+G282+G283</f>
        <v>0</v>
      </c>
      <c r="H275" s="155"/>
    </row>
    <row r="276" spans="1:8" ht="16.5">
      <c r="A276" s="503"/>
      <c r="B276" s="34" t="s">
        <v>2804</v>
      </c>
      <c r="C276" s="98">
        <f t="shared" si="4"/>
        <v>0</v>
      </c>
      <c r="D276" s="544"/>
      <c r="E276" s="97">
        <f>mo!L133</f>
        <v>0</v>
      </c>
      <c r="F276" s="98">
        <f t="shared" si="5"/>
        <v>0</v>
      </c>
      <c r="G276" s="544"/>
      <c r="H276" s="97">
        <f>mo!M133</f>
        <v>0</v>
      </c>
    </row>
    <row r="277" spans="1:8" ht="16.5">
      <c r="A277" s="503"/>
      <c r="B277" s="34" t="s">
        <v>2805</v>
      </c>
      <c r="C277" s="98">
        <f t="shared" si="4"/>
        <v>50000</v>
      </c>
      <c r="D277" s="544"/>
      <c r="E277" s="97">
        <f>mo!L134</f>
        <v>50000</v>
      </c>
      <c r="F277" s="98">
        <f t="shared" si="5"/>
        <v>16900</v>
      </c>
      <c r="G277" s="544"/>
      <c r="H277" s="97">
        <f>mo!M134</f>
        <v>16900</v>
      </c>
    </row>
    <row r="278" spans="1:8" ht="16.5">
      <c r="A278" s="503"/>
      <c r="B278" s="34" t="s">
        <v>2806</v>
      </c>
      <c r="C278" s="98">
        <f t="shared" si="4"/>
        <v>0</v>
      </c>
      <c r="D278" s="544"/>
      <c r="E278" s="97">
        <f>mo!L135</f>
        <v>0</v>
      </c>
      <c r="F278" s="98">
        <f t="shared" si="5"/>
        <v>0</v>
      </c>
      <c r="G278" s="544"/>
      <c r="H278" s="97">
        <f>mo!M135</f>
        <v>0</v>
      </c>
    </row>
    <row r="279" spans="1:8" ht="16.5">
      <c r="A279" s="9" t="s">
        <v>85</v>
      </c>
      <c r="B279" s="34" t="s">
        <v>2556</v>
      </c>
      <c r="C279" s="98">
        <f t="shared" si="4"/>
        <v>60000</v>
      </c>
      <c r="D279" s="99"/>
      <c r="E279" s="100">
        <f>mo!L132</f>
        <v>60000</v>
      </c>
      <c r="F279" s="98">
        <f t="shared" si="5"/>
        <v>8707.42</v>
      </c>
      <c r="G279" s="99"/>
      <c r="H279" s="112">
        <f>mo!M132</f>
        <v>8707.42</v>
      </c>
    </row>
    <row r="280" spans="1:8" ht="16.5">
      <c r="A280" s="9"/>
      <c r="B280" s="34" t="s">
        <v>2807</v>
      </c>
      <c r="C280" s="98">
        <f>D280+E280</f>
        <v>11000</v>
      </c>
      <c r="D280" s="99"/>
      <c r="E280" s="100">
        <f>mo!L136</f>
        <v>11000</v>
      </c>
      <c r="F280" s="98">
        <f>G280+H280</f>
        <v>0</v>
      </c>
      <c r="G280" s="99"/>
      <c r="H280" s="112">
        <f>mo!M136</f>
        <v>0</v>
      </c>
    </row>
    <row r="281" spans="1:8" ht="17.25" thickBot="1">
      <c r="A281" s="9" t="s">
        <v>91</v>
      </c>
      <c r="B281" s="34" t="s">
        <v>2557</v>
      </c>
      <c r="C281" s="98">
        <f>D281+E281</f>
        <v>509000</v>
      </c>
      <c r="D281" s="99"/>
      <c r="E281" s="100">
        <f>mo!L137</f>
        <v>509000</v>
      </c>
      <c r="F281" s="98">
        <f>G281+H281</f>
        <v>8499.08</v>
      </c>
      <c r="G281" s="99"/>
      <c r="H281" s="112">
        <f>mo!M137</f>
        <v>8499.08</v>
      </c>
    </row>
    <row r="282" spans="1:8" ht="17.25" thickBot="1">
      <c r="A282" s="9" t="s">
        <v>97</v>
      </c>
      <c r="B282" s="34" t="s">
        <v>2558</v>
      </c>
      <c r="C282" s="98">
        <f>D282+E282</f>
        <v>282000</v>
      </c>
      <c r="D282" s="99">
        <v>212000</v>
      </c>
      <c r="E282" s="100">
        <f>mo!L138</f>
        <v>70000</v>
      </c>
      <c r="F282" s="98">
        <f>G282+H282</f>
        <v>0</v>
      </c>
      <c r="G282" s="129">
        <f>G283+G288+G289+G290+G292+G293+G294+G295+G296</f>
        <v>0</v>
      </c>
      <c r="H282" s="112">
        <f>mo!M138</f>
        <v>0</v>
      </c>
    </row>
    <row r="283" spans="1:8" ht="17.25" thickBot="1">
      <c r="A283" s="473" t="s">
        <v>100</v>
      </c>
      <c r="B283" s="34" t="s">
        <v>2559</v>
      </c>
      <c r="C283" s="149">
        <f>D283+E283</f>
        <v>192000</v>
      </c>
      <c r="D283" s="102">
        <v>12000</v>
      </c>
      <c r="E283" s="103">
        <f>mo!L139</f>
        <v>180000</v>
      </c>
      <c r="F283" s="149">
        <f>G283+H283</f>
        <v>0</v>
      </c>
      <c r="G283" s="102"/>
      <c r="H283" s="116">
        <f>mo!M139</f>
        <v>0</v>
      </c>
    </row>
    <row r="284" spans="1:8" ht="17.25" thickBot="1">
      <c r="A284" s="279" t="s">
        <v>2261</v>
      </c>
      <c r="B284" s="47" t="s">
        <v>239</v>
      </c>
      <c r="C284" s="150">
        <f>D284+E284</f>
        <v>890000</v>
      </c>
      <c r="D284" s="105">
        <f>SUM(D287:D296)</f>
        <v>0</v>
      </c>
      <c r="E284" s="105">
        <f>SUM(E287:E296)</f>
        <v>890000</v>
      </c>
      <c r="F284" s="150">
        <f>G284+H284</f>
        <v>0</v>
      </c>
      <c r="G284" s="105">
        <f>SUM(G287:G296)</f>
        <v>0</v>
      </c>
      <c r="H284" s="105">
        <f>SUM(H287:H296)</f>
        <v>0</v>
      </c>
    </row>
    <row r="285" spans="1:8" ht="16.5">
      <c r="A285" s="1770"/>
      <c r="B285" s="477" t="s">
        <v>3317</v>
      </c>
      <c r="C285" s="369"/>
      <c r="D285" s="2007">
        <f>D287+D288+D289+D290</f>
        <v>0</v>
      </c>
      <c r="E285" s="2007">
        <f>E287+E288+E289+E290</f>
        <v>0</v>
      </c>
      <c r="F285" s="369"/>
      <c r="G285" s="2007">
        <f>G287+G288+G289+G290</f>
        <v>0</v>
      </c>
      <c r="H285" s="2007">
        <f>H287+H288+H289+H290</f>
        <v>0</v>
      </c>
    </row>
    <row r="286" spans="1:8" ht="16.5">
      <c r="A286" s="480"/>
      <c r="B286" s="477" t="s">
        <v>3318</v>
      </c>
      <c r="C286" s="98"/>
      <c r="D286" s="153">
        <f>D292+D293+D294+D295+D296+D291</f>
        <v>0</v>
      </c>
      <c r="E286" s="153">
        <f>E292+E293+E294+E295+E296</f>
        <v>780000</v>
      </c>
      <c r="F286" s="98"/>
      <c r="G286" s="153">
        <f>G292+G293+G294+G295+G296+G291</f>
        <v>0</v>
      </c>
      <c r="H286" s="153">
        <f>H292+H293+H294+H295+H296</f>
        <v>0</v>
      </c>
    </row>
    <row r="287" spans="1:8" ht="16.5">
      <c r="A287" s="17"/>
      <c r="B287" s="34" t="s">
        <v>2808</v>
      </c>
      <c r="C287" s="369">
        <f t="shared" ref="C287:C296" si="6">E287</f>
        <v>0</v>
      </c>
      <c r="D287" s="121"/>
      <c r="E287" s="114">
        <f>mo!L144</f>
        <v>0</v>
      </c>
      <c r="F287" s="369">
        <f>H287</f>
        <v>0</v>
      </c>
      <c r="G287" s="121"/>
      <c r="H287" s="123">
        <f>mo!M144</f>
        <v>0</v>
      </c>
    </row>
    <row r="288" spans="1:8" ht="16.5">
      <c r="A288" s="9" t="s">
        <v>91</v>
      </c>
      <c r="B288" s="34" t="s">
        <v>2809</v>
      </c>
      <c r="C288" s="98">
        <f t="shared" si="6"/>
        <v>0</v>
      </c>
      <c r="D288" s="99"/>
      <c r="E288" s="100">
        <f>mo!L145</f>
        <v>0</v>
      </c>
      <c r="F288" s="98">
        <f>G288+H288</f>
        <v>0</v>
      </c>
      <c r="G288" s="99"/>
      <c r="H288" s="112">
        <f>mo!M146</f>
        <v>0</v>
      </c>
    </row>
    <row r="289" spans="1:8" ht="16.5">
      <c r="A289" s="9"/>
      <c r="B289" s="34" t="s">
        <v>2810</v>
      </c>
      <c r="C289" s="98">
        <f t="shared" si="6"/>
        <v>0</v>
      </c>
      <c r="D289" s="99"/>
      <c r="E289" s="100">
        <f>mo!L146</f>
        <v>0</v>
      </c>
      <c r="F289" s="98">
        <f t="shared" ref="F289:F295" si="7">H289</f>
        <v>0</v>
      </c>
      <c r="G289" s="99"/>
      <c r="H289" s="112">
        <f>mo!M146</f>
        <v>0</v>
      </c>
    </row>
    <row r="290" spans="1:8" ht="16.5">
      <c r="A290" s="9"/>
      <c r="B290" s="34" t="s">
        <v>2811</v>
      </c>
      <c r="C290" s="98">
        <f t="shared" si="6"/>
        <v>0</v>
      </c>
      <c r="D290" s="102"/>
      <c r="E290" s="103">
        <f>mo!L147</f>
        <v>0</v>
      </c>
      <c r="F290" s="98">
        <f t="shared" si="7"/>
        <v>0</v>
      </c>
      <c r="G290" s="102"/>
      <c r="H290" s="116">
        <f>mo!M147</f>
        <v>0</v>
      </c>
    </row>
    <row r="291" spans="1:8" ht="16.5">
      <c r="A291" s="9"/>
      <c r="B291" s="34" t="s">
        <v>3424</v>
      </c>
      <c r="C291" s="98">
        <f t="shared" si="6"/>
        <v>110000</v>
      </c>
      <c r="D291" s="102"/>
      <c r="E291" s="103">
        <f>mo!L143</f>
        <v>110000</v>
      </c>
      <c r="F291" s="98">
        <f t="shared" si="7"/>
        <v>0</v>
      </c>
      <c r="G291" s="102"/>
      <c r="H291" s="116">
        <f>mo!M143</f>
        <v>0</v>
      </c>
    </row>
    <row r="292" spans="1:8" ht="16.5">
      <c r="A292" s="9"/>
      <c r="B292" s="34" t="s">
        <v>2812</v>
      </c>
      <c r="C292" s="98">
        <f t="shared" si="6"/>
        <v>5000</v>
      </c>
      <c r="D292" s="102"/>
      <c r="E292" s="103">
        <f>mo!L148</f>
        <v>5000</v>
      </c>
      <c r="F292" s="98">
        <f t="shared" si="7"/>
        <v>0</v>
      </c>
      <c r="G292" s="102"/>
      <c r="H292" s="116">
        <f>mo!M148</f>
        <v>0</v>
      </c>
    </row>
    <row r="293" spans="1:8" ht="16.5">
      <c r="A293" s="19"/>
      <c r="B293" s="34" t="s">
        <v>2730</v>
      </c>
      <c r="C293" s="98">
        <f t="shared" si="6"/>
        <v>110000</v>
      </c>
      <c r="D293" s="102">
        <v>0</v>
      </c>
      <c r="E293" s="103">
        <f>mo!L149</f>
        <v>110000</v>
      </c>
      <c r="F293" s="98">
        <f t="shared" si="7"/>
        <v>0</v>
      </c>
      <c r="G293" s="102"/>
      <c r="H293" s="116">
        <f>mo!M149</f>
        <v>0</v>
      </c>
    </row>
    <row r="294" spans="1:8" ht="16.5">
      <c r="A294" s="19"/>
      <c r="B294" s="34" t="s">
        <v>2813</v>
      </c>
      <c r="C294" s="98">
        <f t="shared" si="6"/>
        <v>20000</v>
      </c>
      <c r="D294" s="102"/>
      <c r="E294" s="103">
        <f>mo!L150</f>
        <v>20000</v>
      </c>
      <c r="F294" s="98">
        <f t="shared" si="7"/>
        <v>0</v>
      </c>
      <c r="G294" s="102"/>
      <c r="H294" s="116">
        <f>mo!M150</f>
        <v>0</v>
      </c>
    </row>
    <row r="295" spans="1:8" ht="16.5">
      <c r="A295" s="19"/>
      <c r="B295" s="34" t="s">
        <v>2814</v>
      </c>
      <c r="C295" s="98">
        <f t="shared" si="6"/>
        <v>595000</v>
      </c>
      <c r="D295" s="102"/>
      <c r="E295" s="103">
        <f>mo!L151</f>
        <v>595000</v>
      </c>
      <c r="F295" s="98">
        <f t="shared" si="7"/>
        <v>0</v>
      </c>
      <c r="G295" s="102"/>
      <c r="H295" s="116">
        <f>mo!M151</f>
        <v>0</v>
      </c>
    </row>
    <row r="296" spans="1:8" ht="17.25" thickBot="1">
      <c r="A296" s="19" t="s">
        <v>100</v>
      </c>
      <c r="B296" s="34" t="s">
        <v>2731</v>
      </c>
      <c r="C296" s="149">
        <f t="shared" si="6"/>
        <v>50000</v>
      </c>
      <c r="D296" s="102">
        <v>0</v>
      </c>
      <c r="E296" s="103">
        <f>mo!L152</f>
        <v>50000</v>
      </c>
      <c r="F296" s="149">
        <f>G296</f>
        <v>0</v>
      </c>
      <c r="G296" s="102"/>
      <c r="H296" s="116">
        <f>mo!M152</f>
        <v>0</v>
      </c>
    </row>
    <row r="297" spans="1:8" ht="48" thickBot="1">
      <c r="A297" s="493" t="s">
        <v>329</v>
      </c>
      <c r="B297" s="494" t="s">
        <v>330</v>
      </c>
      <c r="C297" s="150">
        <f t="shared" si="4"/>
        <v>1837433</v>
      </c>
      <c r="D297" s="730">
        <f>D298+D299+D300+D303+D304+D305+D306+D307+D308</f>
        <v>1837433</v>
      </c>
      <c r="E297" s="106">
        <f>E304+E308</f>
        <v>0</v>
      </c>
      <c r="F297" s="104">
        <f>G297+H297+G300</f>
        <v>375458.56</v>
      </c>
      <c r="G297" s="730">
        <f>G298+G299+G300+G303+G304+G305+G306+G307+G308</f>
        <v>375458.56</v>
      </c>
      <c r="H297" s="108">
        <f>SUM(H304:H308)</f>
        <v>0</v>
      </c>
    </row>
    <row r="298" spans="1:8" ht="16.5">
      <c r="A298" s="1770"/>
      <c r="B298" s="477" t="s">
        <v>3266</v>
      </c>
      <c r="C298" s="151">
        <f t="shared" si="4"/>
        <v>1282974</v>
      </c>
      <c r="D298" s="1100">
        <v>1282974</v>
      </c>
      <c r="E298" s="124"/>
      <c r="F298" s="599">
        <f>G298</f>
        <v>277678.56</v>
      </c>
      <c r="G298" s="153">
        <v>277678.56</v>
      </c>
      <c r="H298" s="125"/>
    </row>
    <row r="299" spans="1:8" ht="16.5">
      <c r="A299" s="1770"/>
      <c r="B299" s="477" t="s">
        <v>3267</v>
      </c>
      <c r="C299" s="151">
        <f t="shared" si="4"/>
        <v>387459</v>
      </c>
      <c r="D299" s="1110">
        <v>387459</v>
      </c>
      <c r="E299" s="126"/>
      <c r="F299" s="599">
        <f>G299</f>
        <v>81700</v>
      </c>
      <c r="G299" s="771">
        <v>81700</v>
      </c>
      <c r="H299" s="127"/>
    </row>
    <row r="300" spans="1:8" ht="16.5">
      <c r="A300" s="17" t="s">
        <v>79</v>
      </c>
      <c r="B300" s="477" t="s">
        <v>3268</v>
      </c>
      <c r="C300" s="151">
        <f t="shared" si="4"/>
        <v>50000</v>
      </c>
      <c r="D300" s="1110">
        <v>50000</v>
      </c>
      <c r="E300" s="126"/>
      <c r="F300" s="599">
        <f>G300</f>
        <v>0</v>
      </c>
      <c r="G300" s="771"/>
      <c r="H300" s="127"/>
    </row>
    <row r="301" spans="1:8" ht="16.5">
      <c r="A301" s="278"/>
      <c r="B301" s="477" t="s">
        <v>3319</v>
      </c>
      <c r="C301" s="151"/>
      <c r="D301" s="1110">
        <f>D303+D304</f>
        <v>37000</v>
      </c>
      <c r="E301" s="155"/>
      <c r="F301" s="599"/>
      <c r="G301" s="1110">
        <f>G303+G304</f>
        <v>0</v>
      </c>
      <c r="H301" s="536"/>
    </row>
    <row r="302" spans="1:8" ht="16.5">
      <c r="A302" s="278"/>
      <c r="B302" s="477" t="s">
        <v>3320</v>
      </c>
      <c r="C302" s="151"/>
      <c r="D302" s="1110">
        <f>D305+D306+D307+D308</f>
        <v>80000</v>
      </c>
      <c r="E302" s="155"/>
      <c r="F302" s="599"/>
      <c r="G302" s="1110">
        <f>G305+G306+G307+G308</f>
        <v>16080</v>
      </c>
      <c r="H302" s="536"/>
    </row>
    <row r="303" spans="1:8" ht="16.5">
      <c r="A303" s="278"/>
      <c r="B303" s="34" t="s">
        <v>3269</v>
      </c>
      <c r="C303" s="151">
        <f t="shared" si="4"/>
        <v>22000</v>
      </c>
      <c r="D303" s="544">
        <v>22000</v>
      </c>
      <c r="E303" s="155"/>
      <c r="F303" s="599">
        <f>G303</f>
        <v>0</v>
      </c>
      <c r="G303" s="600"/>
      <c r="H303" s="536"/>
    </row>
    <row r="304" spans="1:8" ht="16.5">
      <c r="A304" s="19" t="s">
        <v>100</v>
      </c>
      <c r="B304" s="34" t="s">
        <v>2560</v>
      </c>
      <c r="C304" s="98">
        <f t="shared" si="4"/>
        <v>15000</v>
      </c>
      <c r="D304" s="96">
        <v>15000</v>
      </c>
      <c r="E304" s="97"/>
      <c r="F304" s="599">
        <f>G304+H304</f>
        <v>0</v>
      </c>
      <c r="G304" s="600"/>
      <c r="H304" s="110"/>
    </row>
    <row r="305" spans="1:8" ht="17.25" thickBot="1">
      <c r="A305" s="18" t="s">
        <v>85</v>
      </c>
      <c r="B305" s="34" t="s">
        <v>2561</v>
      </c>
      <c r="C305" s="98">
        <f>D305</f>
        <v>19000</v>
      </c>
      <c r="D305" s="96">
        <v>19000</v>
      </c>
      <c r="E305" s="97"/>
      <c r="F305" s="599">
        <f>G305</f>
        <v>16080</v>
      </c>
      <c r="G305" s="600">
        <v>16080</v>
      </c>
      <c r="H305" s="110"/>
    </row>
    <row r="306" spans="1:8" ht="16.5">
      <c r="A306" s="18" t="s">
        <v>91</v>
      </c>
      <c r="B306" s="34" t="s">
        <v>2562</v>
      </c>
      <c r="C306" s="98">
        <f>D306</f>
        <v>16000</v>
      </c>
      <c r="D306" s="96">
        <v>16000</v>
      </c>
      <c r="E306" s="97"/>
      <c r="F306" s="599">
        <f>G306</f>
        <v>0</v>
      </c>
      <c r="G306" s="730"/>
      <c r="H306" s="110"/>
    </row>
    <row r="307" spans="1:8" ht="16.5">
      <c r="A307" s="18" t="s">
        <v>97</v>
      </c>
      <c r="B307" s="34" t="s">
        <v>2563</v>
      </c>
      <c r="C307" s="98">
        <f>D307</f>
        <v>15000</v>
      </c>
      <c r="D307" s="99">
        <v>15000</v>
      </c>
      <c r="E307" s="97"/>
      <c r="F307" s="542">
        <f>G307+H307</f>
        <v>0</v>
      </c>
      <c r="G307" s="598"/>
      <c r="H307" s="112"/>
    </row>
    <row r="308" spans="1:8" ht="17.25" thickBot="1">
      <c r="A308" s="19" t="s">
        <v>100</v>
      </c>
      <c r="B308" s="34" t="s">
        <v>2564</v>
      </c>
      <c r="C308" s="113">
        <f>D308</f>
        <v>30000</v>
      </c>
      <c r="D308" s="102">
        <v>30000</v>
      </c>
      <c r="E308" s="114"/>
      <c r="F308" s="610">
        <f>G308+H308</f>
        <v>0</v>
      </c>
      <c r="G308" s="611"/>
      <c r="H308" s="116"/>
    </row>
    <row r="309" spans="1:8" ht="17.25" thickBot="1">
      <c r="A309" s="417" t="s">
        <v>137</v>
      </c>
      <c r="B309" s="27" t="s">
        <v>138</v>
      </c>
      <c r="C309" s="135">
        <f t="shared" si="4"/>
        <v>8221190</v>
      </c>
      <c r="D309" s="140">
        <f>SUM(D310:D322)</f>
        <v>3806600</v>
      </c>
      <c r="E309" s="140">
        <f>SUM(E310:E322)</f>
        <v>4414590</v>
      </c>
      <c r="F309" s="135">
        <f t="shared" si="5"/>
        <v>319042.39</v>
      </c>
      <c r="G309" s="141">
        <f>SUM(G310:G322)</f>
        <v>7452.39</v>
      </c>
      <c r="H309" s="141">
        <f>SUM(H310:H322)</f>
        <v>311590</v>
      </c>
    </row>
    <row r="310" spans="1:8" ht="16.5">
      <c r="A310" s="17" t="s">
        <v>77</v>
      </c>
      <c r="B310" s="34" t="s">
        <v>1681</v>
      </c>
      <c r="C310" s="113">
        <f t="shared" si="4"/>
        <v>29252.66</v>
      </c>
      <c r="D310" s="427">
        <f>D324</f>
        <v>29252.66</v>
      </c>
      <c r="E310" s="1775">
        <f>E324</f>
        <v>0</v>
      </c>
      <c r="F310" s="113">
        <f t="shared" si="5"/>
        <v>5724.01</v>
      </c>
      <c r="G310" s="427">
        <f>G324</f>
        <v>5724.01</v>
      </c>
      <c r="H310" s="1775">
        <f>H324</f>
        <v>0</v>
      </c>
    </row>
    <row r="311" spans="1:8" ht="16.5">
      <c r="A311" s="18" t="s">
        <v>79</v>
      </c>
      <c r="B311" s="373" t="s">
        <v>1682</v>
      </c>
      <c r="C311" s="98">
        <f t="shared" si="4"/>
        <v>0</v>
      </c>
      <c r="D311" s="375">
        <f>D326</f>
        <v>0</v>
      </c>
      <c r="E311" s="1776">
        <f>E326</f>
        <v>0</v>
      </c>
      <c r="F311" s="98">
        <f t="shared" si="5"/>
        <v>0</v>
      </c>
      <c r="G311" s="375">
        <f>G326</f>
        <v>0</v>
      </c>
      <c r="H311" s="1776">
        <f>H326</f>
        <v>0</v>
      </c>
    </row>
    <row r="312" spans="1:8" ht="16.5">
      <c r="A312" s="18" t="s">
        <v>81</v>
      </c>
      <c r="B312" s="373" t="s">
        <v>1683</v>
      </c>
      <c r="C312" s="98">
        <f t="shared" si="4"/>
        <v>8834.2999999999993</v>
      </c>
      <c r="D312" s="375">
        <f>D325</f>
        <v>8834.2999999999993</v>
      </c>
      <c r="E312" s="1776">
        <f>E325</f>
        <v>0</v>
      </c>
      <c r="F312" s="98">
        <f t="shared" si="5"/>
        <v>1728.38</v>
      </c>
      <c r="G312" s="375">
        <f>G325</f>
        <v>1728.38</v>
      </c>
      <c r="H312" s="1776">
        <f>H325</f>
        <v>0</v>
      </c>
    </row>
    <row r="313" spans="1:8" ht="16.5">
      <c r="A313" s="18" t="s">
        <v>83</v>
      </c>
      <c r="B313" s="373" t="s">
        <v>1684</v>
      </c>
      <c r="C313" s="98">
        <f t="shared" si="4"/>
        <v>16713.04</v>
      </c>
      <c r="D313" s="375">
        <f>D329+D332+D335+D337</f>
        <v>16713.04</v>
      </c>
      <c r="E313" s="1776">
        <f>E329</f>
        <v>0</v>
      </c>
      <c r="F313" s="98">
        <f t="shared" si="5"/>
        <v>0</v>
      </c>
      <c r="G313" s="375">
        <f>G329+G332+G335+G337</f>
        <v>0</v>
      </c>
      <c r="H313" s="1776">
        <f>H329</f>
        <v>0</v>
      </c>
    </row>
    <row r="314" spans="1:8" ht="16.5">
      <c r="A314" s="18" t="s">
        <v>85</v>
      </c>
      <c r="B314" s="373" t="s">
        <v>1685</v>
      </c>
      <c r="C314" s="98">
        <f t="shared" si="4"/>
        <v>165600</v>
      </c>
      <c r="D314" s="375">
        <f>D338</f>
        <v>165600</v>
      </c>
      <c r="E314" s="1776"/>
      <c r="F314" s="98">
        <f t="shared" si="5"/>
        <v>0</v>
      </c>
      <c r="G314" s="375">
        <f>G338</f>
        <v>0</v>
      </c>
      <c r="H314" s="1776"/>
    </row>
    <row r="315" spans="1:8" ht="16.5">
      <c r="A315" s="18" t="s">
        <v>87</v>
      </c>
      <c r="B315" s="373" t="s">
        <v>1686</v>
      </c>
      <c r="C315" s="98">
        <f t="shared" si="4"/>
        <v>0</v>
      </c>
      <c r="D315" s="375"/>
      <c r="E315" s="1776"/>
      <c r="F315" s="98">
        <f t="shared" si="5"/>
        <v>0</v>
      </c>
      <c r="G315" s="375"/>
      <c r="H315" s="1776"/>
    </row>
    <row r="316" spans="1:8" ht="16.5">
      <c r="A316" s="18" t="s">
        <v>25</v>
      </c>
      <c r="B316" s="373" t="s">
        <v>1687</v>
      </c>
      <c r="C316" s="98">
        <f t="shared" si="4"/>
        <v>0</v>
      </c>
      <c r="D316" s="375"/>
      <c r="E316" s="1776"/>
      <c r="F316" s="98">
        <f t="shared" si="5"/>
        <v>0</v>
      </c>
      <c r="G316" s="375"/>
      <c r="H316" s="1776"/>
    </row>
    <row r="317" spans="1:8" ht="16.5">
      <c r="A317" s="18" t="s">
        <v>89</v>
      </c>
      <c r="B317" s="373" t="s">
        <v>1688</v>
      </c>
      <c r="C317" s="98">
        <f t="shared" si="4"/>
        <v>0</v>
      </c>
      <c r="D317" s="375"/>
      <c r="E317" s="1776"/>
      <c r="F317" s="98">
        <f t="shared" si="5"/>
        <v>0</v>
      </c>
      <c r="G317" s="375"/>
      <c r="H317" s="1776"/>
    </row>
    <row r="318" spans="1:8" ht="16.5">
      <c r="A318" s="18" t="s">
        <v>91</v>
      </c>
      <c r="B318" s="373" t="s">
        <v>1689</v>
      </c>
      <c r="C318" s="98">
        <f t="shared" si="4"/>
        <v>3342100</v>
      </c>
      <c r="D318" s="375">
        <f>D330</f>
        <v>0</v>
      </c>
      <c r="E318" s="1776">
        <f>E330+E344+E348+E342</f>
        <v>3342100</v>
      </c>
      <c r="F318" s="98">
        <f t="shared" si="5"/>
        <v>311590</v>
      </c>
      <c r="G318" s="375">
        <f>G330</f>
        <v>0</v>
      </c>
      <c r="H318" s="1776">
        <f>H330+H344+H348+H342</f>
        <v>311590</v>
      </c>
    </row>
    <row r="319" spans="1:8" ht="39">
      <c r="A319" s="19" t="s">
        <v>139</v>
      </c>
      <c r="B319" s="40" t="s">
        <v>140</v>
      </c>
      <c r="C319" s="98">
        <f t="shared" si="4"/>
        <v>4141490</v>
      </c>
      <c r="D319" s="377">
        <f>D346+D350</f>
        <v>3069000</v>
      </c>
      <c r="E319" s="1776">
        <f>E346+E350</f>
        <v>1072490</v>
      </c>
      <c r="F319" s="98">
        <f t="shared" si="5"/>
        <v>0</v>
      </c>
      <c r="G319" s="377">
        <f>G346+G350</f>
        <v>0</v>
      </c>
      <c r="H319" s="1776">
        <f>H346+H350</f>
        <v>0</v>
      </c>
    </row>
    <row r="320" spans="1:8" ht="16.5">
      <c r="A320" s="9" t="s">
        <v>95</v>
      </c>
      <c r="B320" s="373" t="s">
        <v>1678</v>
      </c>
      <c r="C320" s="98">
        <f t="shared" si="4"/>
        <v>511200</v>
      </c>
      <c r="D320" s="377">
        <f>D339+D349</f>
        <v>511200</v>
      </c>
      <c r="E320" s="1776">
        <f>E340+E349</f>
        <v>0</v>
      </c>
      <c r="F320" s="98">
        <f t="shared" si="5"/>
        <v>0</v>
      </c>
      <c r="G320" s="377">
        <f>G339+G349</f>
        <v>0</v>
      </c>
      <c r="H320" s="1776">
        <f>H340+H349</f>
        <v>0</v>
      </c>
    </row>
    <row r="321" spans="1:8" ht="16.5">
      <c r="A321" s="9" t="s">
        <v>97</v>
      </c>
      <c r="B321" s="373" t="s">
        <v>1679</v>
      </c>
      <c r="C321" s="98">
        <f t="shared" si="4"/>
        <v>0</v>
      </c>
      <c r="D321" s="377"/>
      <c r="E321" s="1776"/>
      <c r="F321" s="98">
        <f t="shared" si="5"/>
        <v>0</v>
      </c>
      <c r="G321" s="377"/>
      <c r="H321" s="1776"/>
    </row>
    <row r="322" spans="1:8" ht="17.25" thickBot="1">
      <c r="A322" s="473" t="s">
        <v>100</v>
      </c>
      <c r="B322" s="32" t="s">
        <v>1680</v>
      </c>
      <c r="C322" s="113">
        <f t="shared" si="4"/>
        <v>6000</v>
      </c>
      <c r="D322" s="1731">
        <f>D331+D333+D340</f>
        <v>6000</v>
      </c>
      <c r="E322" s="1777">
        <f>E331+E333+E345</f>
        <v>0</v>
      </c>
      <c r="F322" s="113">
        <f t="shared" si="5"/>
        <v>0</v>
      </c>
      <c r="G322" s="1731">
        <f>G331+G333+G340</f>
        <v>0</v>
      </c>
      <c r="H322" s="1777">
        <f>H331+H333+H345</f>
        <v>0</v>
      </c>
    </row>
    <row r="323" spans="1:8" ht="17.25" thickBot="1">
      <c r="A323" s="1732" t="s">
        <v>1585</v>
      </c>
      <c r="B323" s="181" t="s">
        <v>1676</v>
      </c>
      <c r="C323" s="150">
        <f t="shared" si="4"/>
        <v>43800</v>
      </c>
      <c r="D323" s="105">
        <f>D324+D325+D326+D329+D330+D331+D332+D333</f>
        <v>43800</v>
      </c>
      <c r="E323" s="118">
        <f>SUM(E324:E333)</f>
        <v>0</v>
      </c>
      <c r="F323" s="150">
        <f t="shared" si="5"/>
        <v>7452.39</v>
      </c>
      <c r="G323" s="105">
        <f>G324+G325+G326+G329+G330+G331+G332+G333</f>
        <v>7452.39</v>
      </c>
      <c r="H323" s="148">
        <f>SUM(H324:H333)</f>
        <v>0</v>
      </c>
    </row>
    <row r="324" spans="1:8" ht="16.5">
      <c r="A324" s="17" t="s">
        <v>77</v>
      </c>
      <c r="B324" s="477" t="s">
        <v>2565</v>
      </c>
      <c r="C324" s="151">
        <f t="shared" si="4"/>
        <v>29252.66</v>
      </c>
      <c r="D324" s="154">
        <v>29252.66</v>
      </c>
      <c r="E324" s="155">
        <f>mo!L154</f>
        <v>0</v>
      </c>
      <c r="F324" s="151">
        <f t="shared" si="5"/>
        <v>5724.01</v>
      </c>
      <c r="G324" s="154">
        <v>5724.01</v>
      </c>
      <c r="H324" s="155">
        <f>mo!M154</f>
        <v>0</v>
      </c>
    </row>
    <row r="325" spans="1:8" ht="16.5">
      <c r="A325" s="18" t="s">
        <v>79</v>
      </c>
      <c r="B325" s="477" t="s">
        <v>3271</v>
      </c>
      <c r="C325" s="98">
        <f t="shared" si="4"/>
        <v>8834.2999999999993</v>
      </c>
      <c r="D325" s="153">
        <v>8834.2999999999993</v>
      </c>
      <c r="E325" s="126"/>
      <c r="F325" s="98">
        <f t="shared" si="5"/>
        <v>1728.38</v>
      </c>
      <c r="G325" s="153">
        <v>1728.38</v>
      </c>
      <c r="H325" s="155"/>
    </row>
    <row r="326" spans="1:8" ht="16.5">
      <c r="A326" s="18" t="s">
        <v>81</v>
      </c>
      <c r="B326" s="477" t="s">
        <v>2567</v>
      </c>
      <c r="C326" s="98">
        <f t="shared" si="4"/>
        <v>0</v>
      </c>
      <c r="D326" s="153"/>
      <c r="E326" s="126">
        <f>mo!L155</f>
        <v>0</v>
      </c>
      <c r="F326" s="98">
        <f t="shared" si="5"/>
        <v>0</v>
      </c>
      <c r="G326" s="153"/>
      <c r="H326" s="126">
        <f>mo!M155</f>
        <v>0</v>
      </c>
    </row>
    <row r="327" spans="1:8" ht="16.5">
      <c r="A327" s="18"/>
      <c r="B327" s="477" t="s">
        <v>3321</v>
      </c>
      <c r="C327" s="98"/>
      <c r="D327" s="153">
        <f>D329+D330+D331</f>
        <v>713.04</v>
      </c>
      <c r="E327" s="126"/>
      <c r="F327" s="98"/>
      <c r="G327" s="153">
        <f>G329+G330+G331</f>
        <v>0</v>
      </c>
      <c r="H327" s="126"/>
    </row>
    <row r="328" spans="1:8" ht="16.5">
      <c r="A328" s="18"/>
      <c r="B328" s="477" t="s">
        <v>3322</v>
      </c>
      <c r="C328" s="98"/>
      <c r="D328" s="153">
        <f>D332+D333</f>
        <v>5000</v>
      </c>
      <c r="E328" s="126"/>
      <c r="F328" s="98"/>
      <c r="G328" s="153">
        <f>G332+G333</f>
        <v>0</v>
      </c>
      <c r="H328" s="126"/>
    </row>
    <row r="329" spans="1:8" ht="16.5">
      <c r="A329" s="18" t="s">
        <v>83</v>
      </c>
      <c r="B329" s="34" t="s">
        <v>2566</v>
      </c>
      <c r="C329" s="98">
        <f t="shared" si="4"/>
        <v>713.04</v>
      </c>
      <c r="D329" s="99">
        <v>713.04</v>
      </c>
      <c r="E329" s="100"/>
      <c r="F329" s="98">
        <f t="shared" si="5"/>
        <v>0</v>
      </c>
      <c r="G329" s="99"/>
      <c r="H329" s="100"/>
    </row>
    <row r="330" spans="1:8" ht="16.5">
      <c r="A330" s="18" t="s">
        <v>85</v>
      </c>
      <c r="B330" s="34" t="s">
        <v>2568</v>
      </c>
      <c r="C330" s="98">
        <f t="shared" si="4"/>
        <v>0</v>
      </c>
      <c r="D330" s="99">
        <v>0</v>
      </c>
      <c r="E330" s="100"/>
      <c r="F330" s="98">
        <f t="shared" si="5"/>
        <v>0</v>
      </c>
      <c r="G330" s="99"/>
      <c r="H330" s="100"/>
    </row>
    <row r="331" spans="1:8" ht="16.5">
      <c r="A331" s="18" t="s">
        <v>87</v>
      </c>
      <c r="B331" s="34" t="s">
        <v>2569</v>
      </c>
      <c r="C331" s="98">
        <f t="shared" si="4"/>
        <v>0</v>
      </c>
      <c r="D331" s="99">
        <v>0</v>
      </c>
      <c r="E331" s="100"/>
      <c r="F331" s="98">
        <f t="shared" si="5"/>
        <v>0</v>
      </c>
      <c r="G331" s="99"/>
      <c r="H331" s="100"/>
    </row>
    <row r="332" spans="1:8" ht="16.5">
      <c r="A332" s="19"/>
      <c r="B332" s="36" t="s">
        <v>3272</v>
      </c>
      <c r="C332" s="98">
        <f t="shared" si="4"/>
        <v>0</v>
      </c>
      <c r="D332" s="102">
        <v>0</v>
      </c>
      <c r="E332" s="103"/>
      <c r="F332" s="98">
        <f t="shared" si="5"/>
        <v>0</v>
      </c>
      <c r="G332" s="102"/>
      <c r="H332" s="103"/>
    </row>
    <row r="333" spans="1:8" ht="17.25" thickBot="1">
      <c r="A333" s="19" t="s">
        <v>25</v>
      </c>
      <c r="B333" s="36" t="s">
        <v>2570</v>
      </c>
      <c r="C333" s="149">
        <f t="shared" si="4"/>
        <v>5000</v>
      </c>
      <c r="D333" s="102">
        <v>5000</v>
      </c>
      <c r="E333" s="103"/>
      <c r="F333" s="149">
        <f t="shared" si="5"/>
        <v>0</v>
      </c>
      <c r="G333" s="102"/>
      <c r="H333" s="103"/>
    </row>
    <row r="334" spans="1:8" ht="17.25" thickBot="1">
      <c r="A334" s="740"/>
      <c r="B334" s="424" t="s">
        <v>2571</v>
      </c>
      <c r="C334" s="150">
        <f t="shared" ref="C334:C346" si="8">D334+E334</f>
        <v>238900</v>
      </c>
      <c r="D334" s="105">
        <f>D335+D337+D338+D339+D340</f>
        <v>238900</v>
      </c>
      <c r="E334" s="118"/>
      <c r="F334" s="150">
        <f>G334+H334</f>
        <v>0</v>
      </c>
      <c r="G334" s="105">
        <f>G335+G337+G338+G339+G340</f>
        <v>0</v>
      </c>
      <c r="H334" s="148"/>
    </row>
    <row r="335" spans="1:8" ht="16.5">
      <c r="A335" s="503"/>
      <c r="B335" s="477" t="s">
        <v>3273</v>
      </c>
      <c r="C335" s="98">
        <f t="shared" si="4"/>
        <v>15000</v>
      </c>
      <c r="D335" s="154">
        <v>15000</v>
      </c>
      <c r="E335" s="155"/>
      <c r="F335" s="98">
        <f t="shared" si="5"/>
        <v>0</v>
      </c>
      <c r="G335" s="154"/>
      <c r="H335" s="155"/>
    </row>
    <row r="336" spans="1:8" ht="16.5">
      <c r="A336" s="503"/>
      <c r="B336" s="477" t="s">
        <v>3323</v>
      </c>
      <c r="C336" s="98"/>
      <c r="D336" s="154">
        <f>D337+D338+D339+D340</f>
        <v>223900</v>
      </c>
      <c r="E336" s="155"/>
      <c r="F336" s="98"/>
      <c r="G336" s="154">
        <f>G337+G338+G339+G340</f>
        <v>0</v>
      </c>
      <c r="H336" s="155"/>
    </row>
    <row r="337" spans="1:8" ht="16.5">
      <c r="A337" s="9"/>
      <c r="B337" s="31" t="s">
        <v>3274</v>
      </c>
      <c r="C337" s="98">
        <f t="shared" si="4"/>
        <v>1000</v>
      </c>
      <c r="D337" s="99">
        <v>1000</v>
      </c>
      <c r="E337" s="100"/>
      <c r="F337" s="98">
        <f t="shared" si="5"/>
        <v>0</v>
      </c>
      <c r="G337" s="99"/>
      <c r="H337" s="100"/>
    </row>
    <row r="338" spans="1:8" ht="16.5">
      <c r="A338" s="9"/>
      <c r="B338" s="31" t="s">
        <v>3275</v>
      </c>
      <c r="C338" s="98">
        <f t="shared" si="4"/>
        <v>165600</v>
      </c>
      <c r="D338" s="99">
        <v>165600</v>
      </c>
      <c r="E338" s="100"/>
      <c r="F338" s="98">
        <f t="shared" si="5"/>
        <v>0</v>
      </c>
      <c r="G338" s="99"/>
      <c r="H338" s="100"/>
    </row>
    <row r="339" spans="1:8" ht="16.5">
      <c r="A339" s="473"/>
      <c r="B339" s="32" t="s">
        <v>2572</v>
      </c>
      <c r="C339" s="98">
        <f t="shared" si="4"/>
        <v>56300</v>
      </c>
      <c r="D339" s="102">
        <v>56300</v>
      </c>
      <c r="E339" s="103"/>
      <c r="F339" s="98">
        <f t="shared" si="5"/>
        <v>0</v>
      </c>
      <c r="G339" s="102"/>
      <c r="H339" s="103"/>
    </row>
    <row r="340" spans="1:8" ht="17.25" thickBot="1">
      <c r="A340" s="473" t="s">
        <v>95</v>
      </c>
      <c r="B340" s="32" t="s">
        <v>3276</v>
      </c>
      <c r="C340" s="149">
        <f t="shared" si="8"/>
        <v>1000</v>
      </c>
      <c r="D340" s="102">
        <v>1000</v>
      </c>
      <c r="E340" s="103"/>
      <c r="F340" s="149">
        <f>G340+H340</f>
        <v>0</v>
      </c>
      <c r="G340" s="102"/>
      <c r="H340" s="103"/>
    </row>
    <row r="341" spans="1:8" ht="17.25" thickBot="1">
      <c r="A341" s="740"/>
      <c r="B341" s="424" t="s">
        <v>3425</v>
      </c>
      <c r="C341" s="150">
        <f>D341+E341</f>
        <v>1000000</v>
      </c>
      <c r="D341" s="117"/>
      <c r="E341" s="118">
        <f>E342</f>
        <v>1000000</v>
      </c>
      <c r="F341" s="150">
        <f>G341+H341</f>
        <v>0</v>
      </c>
      <c r="G341" s="117"/>
      <c r="H341" s="148">
        <f>H342</f>
        <v>0</v>
      </c>
    </row>
    <row r="342" spans="1:8" ht="17.25" thickBot="1">
      <c r="A342" s="502"/>
      <c r="B342" s="36" t="s">
        <v>3426</v>
      </c>
      <c r="C342" s="369">
        <f>D342+E342</f>
        <v>1000000</v>
      </c>
      <c r="D342" s="121"/>
      <c r="E342" s="114">
        <f>mo!L156</f>
        <v>1000000</v>
      </c>
      <c r="F342" s="435">
        <f>G342+H342</f>
        <v>0</v>
      </c>
      <c r="G342" s="121"/>
      <c r="H342" s="114">
        <f>mo!M156</f>
        <v>0</v>
      </c>
    </row>
    <row r="343" spans="1:8" ht="17.25" thickBot="1">
      <c r="A343" s="740"/>
      <c r="B343" s="428" t="s">
        <v>251</v>
      </c>
      <c r="C343" s="150">
        <f t="shared" si="8"/>
        <v>5992190</v>
      </c>
      <c r="D343" s="105">
        <f>D346</f>
        <v>3005700</v>
      </c>
      <c r="E343" s="118">
        <f>SUM(E344:E346)</f>
        <v>2986490</v>
      </c>
      <c r="F343" s="150">
        <f t="shared" ref="F343:F348" si="9">G343+H343</f>
        <v>281890</v>
      </c>
      <c r="G343" s="2592"/>
      <c r="H343" s="2591">
        <f>SUM(H344:H346)</f>
        <v>281890</v>
      </c>
    </row>
    <row r="344" spans="1:8" ht="16.5">
      <c r="A344" s="17" t="s">
        <v>91</v>
      </c>
      <c r="B344" s="34" t="s">
        <v>2732</v>
      </c>
      <c r="C344" s="151">
        <f t="shared" si="8"/>
        <v>1914000</v>
      </c>
      <c r="D344" s="96"/>
      <c r="E344" s="97">
        <f>mo!L158</f>
        <v>1914000</v>
      </c>
      <c r="F344" s="151">
        <f t="shared" si="9"/>
        <v>281890</v>
      </c>
      <c r="G344" s="96"/>
      <c r="H344" s="97">
        <f>mo!M158</f>
        <v>281890</v>
      </c>
    </row>
    <row r="345" spans="1:8" ht="16.5">
      <c r="A345" s="473" t="s">
        <v>100</v>
      </c>
      <c r="B345" s="31" t="s">
        <v>2733</v>
      </c>
      <c r="C345" s="149">
        <f t="shared" si="8"/>
        <v>0</v>
      </c>
      <c r="D345" s="99"/>
      <c r="E345" s="100">
        <f>mo!L159</f>
        <v>0</v>
      </c>
      <c r="F345" s="149">
        <f t="shared" si="9"/>
        <v>0</v>
      </c>
      <c r="G345" s="99"/>
      <c r="H345" s="100">
        <f>mo!M159</f>
        <v>0</v>
      </c>
    </row>
    <row r="346" spans="1:8" ht="39.75" thickBot="1">
      <c r="A346" s="19" t="s">
        <v>62</v>
      </c>
      <c r="B346" s="1115" t="s">
        <v>2573</v>
      </c>
      <c r="C346" s="149">
        <f t="shared" si="8"/>
        <v>4078190</v>
      </c>
      <c r="D346" s="121">
        <v>3005700</v>
      </c>
      <c r="E346" s="114">
        <f>mo!L160</f>
        <v>1072490</v>
      </c>
      <c r="F346" s="149">
        <f t="shared" si="9"/>
        <v>0</v>
      </c>
      <c r="G346" s="121"/>
      <c r="H346" s="370">
        <f>mo!M160</f>
        <v>0</v>
      </c>
    </row>
    <row r="347" spans="1:8" ht="32.25" thickBot="1">
      <c r="A347" s="279" t="s">
        <v>141</v>
      </c>
      <c r="B347" s="769" t="s">
        <v>2032</v>
      </c>
      <c r="C347" s="150">
        <f t="shared" si="4"/>
        <v>946300</v>
      </c>
      <c r="D347" s="105">
        <f>SUM(D348:D350)</f>
        <v>518200</v>
      </c>
      <c r="E347" s="118">
        <f>SUM(E348:E350)</f>
        <v>428100</v>
      </c>
      <c r="F347" s="150">
        <f t="shared" si="9"/>
        <v>29700</v>
      </c>
      <c r="G347" s="105">
        <f>SUM(G348:G350)</f>
        <v>0</v>
      </c>
      <c r="H347" s="148">
        <f>SUM(H348:H350)</f>
        <v>29700</v>
      </c>
    </row>
    <row r="348" spans="1:8" ht="16.5">
      <c r="A348" s="17" t="s">
        <v>91</v>
      </c>
      <c r="B348" s="31" t="s">
        <v>2734</v>
      </c>
      <c r="C348" s="369">
        <f t="shared" si="4"/>
        <v>428100</v>
      </c>
      <c r="D348" s="121"/>
      <c r="E348" s="114">
        <f>mo!L166</f>
        <v>428100</v>
      </c>
      <c r="F348" s="369">
        <f t="shared" si="9"/>
        <v>29700</v>
      </c>
      <c r="G348" s="121"/>
      <c r="H348" s="370">
        <f>mo!M166</f>
        <v>29700</v>
      </c>
    </row>
    <row r="349" spans="1:8" ht="16.5">
      <c r="A349" s="9" t="s">
        <v>95</v>
      </c>
      <c r="B349" s="31" t="s">
        <v>2574</v>
      </c>
      <c r="C349" s="98">
        <f>D349</f>
        <v>454900</v>
      </c>
      <c r="D349" s="648">
        <f>429300+25600</f>
        <v>454900</v>
      </c>
      <c r="E349" s="100">
        <f>mo!L167</f>
        <v>0</v>
      </c>
      <c r="F349" s="98">
        <f>G349</f>
        <v>0</v>
      </c>
      <c r="G349" s="99"/>
      <c r="H349" s="100">
        <f>mo!M167</f>
        <v>0</v>
      </c>
    </row>
    <row r="350" spans="1:8" ht="39.75" thickBot="1">
      <c r="A350" s="19" t="s">
        <v>62</v>
      </c>
      <c r="B350" s="31" t="s">
        <v>2575</v>
      </c>
      <c r="C350" s="98">
        <f>D350+E350</f>
        <v>63300</v>
      </c>
      <c r="D350" s="99">
        <v>63300</v>
      </c>
      <c r="E350" s="100">
        <f>mo!L167</f>
        <v>0</v>
      </c>
      <c r="F350" s="98">
        <f t="shared" si="5"/>
        <v>0</v>
      </c>
      <c r="G350" s="99"/>
      <c r="H350" s="100">
        <f>mo!M167</f>
        <v>0</v>
      </c>
    </row>
    <row r="351" spans="1:8" ht="17.25" thickBot="1">
      <c r="A351" s="417" t="s">
        <v>142</v>
      </c>
      <c r="B351" s="1170" t="s">
        <v>143</v>
      </c>
      <c r="C351" s="1171">
        <f t="shared" si="4"/>
        <v>15633009.649999999</v>
      </c>
      <c r="D351" s="1169">
        <f>SUM(D352:D362)</f>
        <v>0</v>
      </c>
      <c r="E351" s="1169">
        <f>SUM(E352:E362)</f>
        <v>15633009.649999999</v>
      </c>
      <c r="F351" s="1168">
        <f>G351+H351</f>
        <v>854625.59</v>
      </c>
      <c r="G351" s="1169">
        <f>SUM(G352:G362)</f>
        <v>0</v>
      </c>
      <c r="H351" s="1169">
        <f>SUM(H352:H362)</f>
        <v>854625.59</v>
      </c>
    </row>
    <row r="352" spans="1:8" ht="16.5">
      <c r="A352" s="495" t="s">
        <v>85</v>
      </c>
      <c r="B352" s="1172" t="s">
        <v>795</v>
      </c>
      <c r="C352" s="98">
        <f>D352+E352</f>
        <v>960000</v>
      </c>
      <c r="D352" s="1100"/>
      <c r="E352" s="126">
        <f>E364+E375+E386</f>
        <v>960000</v>
      </c>
      <c r="F352" s="98">
        <f>G352+H352</f>
        <v>359909.72</v>
      </c>
      <c r="G352" s="1100"/>
      <c r="H352" s="126">
        <f>H364+H375+H386</f>
        <v>359909.72</v>
      </c>
    </row>
    <row r="353" spans="1:8" ht="16.5">
      <c r="A353" s="9" t="s">
        <v>87</v>
      </c>
      <c r="B353" s="34" t="s">
        <v>1318</v>
      </c>
      <c r="C353" s="98">
        <f t="shared" si="4"/>
        <v>3000300</v>
      </c>
      <c r="D353" s="1458"/>
      <c r="E353" s="155">
        <f>E387+E366</f>
        <v>3000300</v>
      </c>
      <c r="F353" s="151">
        <f t="shared" si="5"/>
        <v>47616.75</v>
      </c>
      <c r="G353" s="1110"/>
      <c r="H353" s="155">
        <f>H387+H366</f>
        <v>47616.75</v>
      </c>
    </row>
    <row r="354" spans="1:8" ht="16.5">
      <c r="A354" s="9" t="s">
        <v>25</v>
      </c>
      <c r="B354" s="34" t="s">
        <v>1319</v>
      </c>
      <c r="C354" s="98">
        <f t="shared" si="4"/>
        <v>0</v>
      </c>
      <c r="D354" s="1458"/>
      <c r="E354" s="155">
        <f>E388</f>
        <v>0</v>
      </c>
      <c r="F354" s="151">
        <f t="shared" si="5"/>
        <v>0</v>
      </c>
      <c r="G354" s="1110"/>
      <c r="H354" s="155">
        <f>H388</f>
        <v>0</v>
      </c>
    </row>
    <row r="355" spans="1:8" ht="16.5">
      <c r="A355" s="18" t="s">
        <v>89</v>
      </c>
      <c r="B355" s="723" t="s">
        <v>2078</v>
      </c>
      <c r="C355" s="98">
        <f t="shared" si="4"/>
        <v>7345209.6499999994</v>
      </c>
      <c r="D355" s="96">
        <f>D376+D365</f>
        <v>0</v>
      </c>
      <c r="E355" s="97">
        <f>E365+E376+E389</f>
        <v>7345209.6499999994</v>
      </c>
      <c r="F355" s="151">
        <f>G355+H355</f>
        <v>250965.91</v>
      </c>
      <c r="G355" s="96">
        <f>G376+G365</f>
        <v>0</v>
      </c>
      <c r="H355" s="97">
        <f>H365+H376+H389</f>
        <v>250965.91</v>
      </c>
    </row>
    <row r="356" spans="1:8" ht="16.5">
      <c r="A356" s="18" t="s">
        <v>91</v>
      </c>
      <c r="B356" s="31" t="s">
        <v>1273</v>
      </c>
      <c r="C356" s="98">
        <f t="shared" si="4"/>
        <v>634300</v>
      </c>
      <c r="D356" s="99">
        <f>D378</f>
        <v>0</v>
      </c>
      <c r="E356" s="97">
        <f>E367+E378+E377+E390</f>
        <v>634300</v>
      </c>
      <c r="F356" s="113">
        <f>H356</f>
        <v>13794</v>
      </c>
      <c r="G356" s="96"/>
      <c r="H356" s="97">
        <f>H367+H378+H377+H390</f>
        <v>13794</v>
      </c>
    </row>
    <row r="357" spans="1:8" ht="16.5">
      <c r="A357" s="278"/>
      <c r="B357" s="34" t="s">
        <v>145</v>
      </c>
      <c r="C357" s="113">
        <f t="shared" si="4"/>
        <v>0</v>
      </c>
      <c r="D357" s="96"/>
      <c r="E357" s="97"/>
      <c r="F357" s="98">
        <f>H357</f>
        <v>0</v>
      </c>
      <c r="G357" s="96"/>
      <c r="H357" s="97"/>
    </row>
    <row r="358" spans="1:8" ht="39">
      <c r="A358" s="278" t="s">
        <v>2340</v>
      </c>
      <c r="B358" s="34" t="s">
        <v>2415</v>
      </c>
      <c r="C358" s="98">
        <f t="shared" si="4"/>
        <v>630000</v>
      </c>
      <c r="D358" s="544">
        <f>D370+D384+D393+D394</f>
        <v>0</v>
      </c>
      <c r="E358" s="97">
        <f>E370+E384+E393+E394</f>
        <v>630000</v>
      </c>
      <c r="F358" s="98">
        <f t="shared" si="5"/>
        <v>88506.209999999992</v>
      </c>
      <c r="G358" s="96">
        <f>G379</f>
        <v>0</v>
      </c>
      <c r="H358" s="97">
        <f>H370+H384+H393+H394</f>
        <v>88506.209999999992</v>
      </c>
    </row>
    <row r="359" spans="1:8" ht="16.5">
      <c r="A359" s="18" t="s">
        <v>95</v>
      </c>
      <c r="B359" s="36" t="s">
        <v>1274</v>
      </c>
      <c r="C359" s="541">
        <f>D359+E359</f>
        <v>0</v>
      </c>
      <c r="D359" s="598">
        <f>D381+D380</f>
        <v>0</v>
      </c>
      <c r="E359" s="100">
        <f>E381+E371+E369</f>
        <v>0</v>
      </c>
      <c r="F359" s="541">
        <f>G359+H359</f>
        <v>0</v>
      </c>
      <c r="G359" s="598">
        <f>G381+G380</f>
        <v>0</v>
      </c>
      <c r="H359" s="100">
        <f>H381+H371+H369</f>
        <v>0</v>
      </c>
    </row>
    <row r="360" spans="1:8" ht="16.5">
      <c r="A360" s="19" t="s">
        <v>97</v>
      </c>
      <c r="B360" s="32" t="s">
        <v>1591</v>
      </c>
      <c r="C360" s="113">
        <f>D360+E360</f>
        <v>927700</v>
      </c>
      <c r="D360" s="102">
        <f>D372+D382</f>
        <v>0</v>
      </c>
      <c r="E360" s="103">
        <f>E372+E382+E391</f>
        <v>927700</v>
      </c>
      <c r="F360" s="113">
        <f t="shared" si="5"/>
        <v>0</v>
      </c>
      <c r="G360" s="1784">
        <f>G372+G382</f>
        <v>0</v>
      </c>
      <c r="H360" s="103">
        <f>H372+H382+H391</f>
        <v>0</v>
      </c>
    </row>
    <row r="361" spans="1:8" ht="16.5">
      <c r="A361" s="19" t="s">
        <v>100</v>
      </c>
      <c r="B361" s="32" t="s">
        <v>241</v>
      </c>
      <c r="C361" s="98">
        <f>D361+E361</f>
        <v>2135500</v>
      </c>
      <c r="D361" s="99">
        <f>D373</f>
        <v>0</v>
      </c>
      <c r="E361" s="100">
        <f>E373+E383+E392</f>
        <v>2135500</v>
      </c>
      <c r="F361" s="98">
        <f>G361+H361</f>
        <v>93833</v>
      </c>
      <c r="G361" s="99"/>
      <c r="H361" s="100">
        <f>H373+H383+H392</f>
        <v>93833</v>
      </c>
    </row>
    <row r="362" spans="1:8" ht="17.25" thickBot="1">
      <c r="A362" s="278"/>
      <c r="B362" s="32" t="s">
        <v>2854</v>
      </c>
      <c r="C362" s="113">
        <f>D362+E362</f>
        <v>0</v>
      </c>
      <c r="D362" s="121">
        <f>D379</f>
        <v>0</v>
      </c>
      <c r="E362" s="114">
        <f>E379+E368</f>
        <v>0</v>
      </c>
      <c r="F362" s="113">
        <f>G362+H362</f>
        <v>0</v>
      </c>
      <c r="G362" s="156"/>
      <c r="H362" s="114">
        <f>H379+H368</f>
        <v>0</v>
      </c>
    </row>
    <row r="363" spans="1:8" ht="17.25" thickBot="1">
      <c r="A363" s="493" t="s">
        <v>2034</v>
      </c>
      <c r="B363" s="39" t="s">
        <v>2033</v>
      </c>
      <c r="C363" s="104">
        <f t="shared" si="4"/>
        <v>9088717.4299999997</v>
      </c>
      <c r="D363" s="105">
        <f>D373+D372+D365</f>
        <v>0</v>
      </c>
      <c r="E363" s="106">
        <f>SUM(E364:E373)</f>
        <v>9088717.4299999997</v>
      </c>
      <c r="F363" s="104">
        <f t="shared" si="5"/>
        <v>211508</v>
      </c>
      <c r="G363" s="532">
        <f>G372+G365</f>
        <v>0</v>
      </c>
      <c r="H363" s="106">
        <f>SUM(H364:H373)</f>
        <v>211508</v>
      </c>
    </row>
    <row r="364" spans="1:8" ht="16.5">
      <c r="A364" s="17" t="s">
        <v>85</v>
      </c>
      <c r="B364" s="34" t="s">
        <v>2735</v>
      </c>
      <c r="C364" s="151">
        <f t="shared" ref="C364:C371" si="10">D364+E364</f>
        <v>100000</v>
      </c>
      <c r="D364" s="154"/>
      <c r="E364" s="155">
        <f>mo!L172</f>
        <v>100000</v>
      </c>
      <c r="F364" s="151">
        <f>H364</f>
        <v>41500</v>
      </c>
      <c r="G364" s="154"/>
      <c r="H364" s="155">
        <f>mo!M172</f>
        <v>41500</v>
      </c>
    </row>
    <row r="365" spans="1:8" ht="16.5">
      <c r="A365" s="503" t="s">
        <v>89</v>
      </c>
      <c r="B365" s="34" t="s">
        <v>2736</v>
      </c>
      <c r="C365" s="151">
        <f t="shared" si="10"/>
        <v>3720217.4299999997</v>
      </c>
      <c r="D365" s="544"/>
      <c r="E365" s="97">
        <f>mo!L174</f>
        <v>3720217.4299999997</v>
      </c>
      <c r="F365" s="151">
        <f t="shared" ref="F365:F371" si="11">H365</f>
        <v>120265</v>
      </c>
      <c r="G365" s="154"/>
      <c r="H365" s="97">
        <f>mo!M174</f>
        <v>120265</v>
      </c>
    </row>
    <row r="366" spans="1:8" ht="16.5">
      <c r="A366" s="17"/>
      <c r="B366" s="34" t="s">
        <v>2816</v>
      </c>
      <c r="C366" s="151">
        <f t="shared" si="10"/>
        <v>2735300</v>
      </c>
      <c r="D366" s="544"/>
      <c r="E366" s="97">
        <f>mo!L173</f>
        <v>2735300</v>
      </c>
      <c r="F366" s="151">
        <f t="shared" si="11"/>
        <v>0</v>
      </c>
      <c r="G366" s="771"/>
      <c r="H366" s="152">
        <f>mo!M173</f>
        <v>0</v>
      </c>
    </row>
    <row r="367" spans="1:8" ht="16.5">
      <c r="A367" s="17" t="s">
        <v>91</v>
      </c>
      <c r="B367" s="34" t="s">
        <v>2737</v>
      </c>
      <c r="C367" s="151">
        <f t="shared" si="10"/>
        <v>150000</v>
      </c>
      <c r="D367" s="544"/>
      <c r="E367" s="97">
        <f>mo!L175</f>
        <v>150000</v>
      </c>
      <c r="F367" s="151">
        <f t="shared" si="11"/>
        <v>0</v>
      </c>
      <c r="G367" s="771"/>
      <c r="H367" s="145">
        <f>mo!M175</f>
        <v>0</v>
      </c>
    </row>
    <row r="368" spans="1:8" ht="16.5">
      <c r="A368" s="278"/>
      <c r="B368" s="34" t="s">
        <v>2853</v>
      </c>
      <c r="C368" s="151">
        <f t="shared" si="10"/>
        <v>0</v>
      </c>
      <c r="D368" s="544"/>
      <c r="E368" s="97">
        <f>mo!L181</f>
        <v>0</v>
      </c>
      <c r="F368" s="151">
        <f t="shared" si="11"/>
        <v>0</v>
      </c>
      <c r="G368" s="771"/>
      <c r="H368" s="145">
        <f>mo!M181</f>
        <v>0</v>
      </c>
    </row>
    <row r="369" spans="1:8" ht="16.5">
      <c r="A369" s="278"/>
      <c r="B369" s="34" t="s">
        <v>2840</v>
      </c>
      <c r="C369" s="151">
        <f t="shared" si="10"/>
        <v>0</v>
      </c>
      <c r="D369" s="544"/>
      <c r="E369" s="97">
        <f>mo!L177</f>
        <v>0</v>
      </c>
      <c r="F369" s="151">
        <f t="shared" si="11"/>
        <v>0</v>
      </c>
      <c r="G369" s="771"/>
      <c r="H369" s="145">
        <f>mo!M177</f>
        <v>0</v>
      </c>
    </row>
    <row r="370" spans="1:8" ht="39">
      <c r="A370" s="278" t="s">
        <v>2340</v>
      </c>
      <c r="B370" s="34" t="s">
        <v>2738</v>
      </c>
      <c r="C370" s="770">
        <f t="shared" si="10"/>
        <v>0</v>
      </c>
      <c r="D370" s="544"/>
      <c r="E370" s="97">
        <f>mo!L176</f>
        <v>0</v>
      </c>
      <c r="F370" s="599">
        <f t="shared" si="11"/>
        <v>0</v>
      </c>
      <c r="G370" s="771"/>
      <c r="H370" s="772">
        <f>mo!M176</f>
        <v>0</v>
      </c>
    </row>
    <row r="371" spans="1:8" ht="16.5">
      <c r="A371" s="278"/>
      <c r="B371" s="34" t="s">
        <v>2833</v>
      </c>
      <c r="C371" s="770">
        <f t="shared" si="10"/>
        <v>0</v>
      </c>
      <c r="D371" s="544"/>
      <c r="E371" s="97">
        <f>mo!L179</f>
        <v>0</v>
      </c>
      <c r="F371" s="599">
        <f t="shared" si="11"/>
        <v>0</v>
      </c>
      <c r="G371" s="771"/>
      <c r="H371" s="772">
        <f>mo!M179</f>
        <v>0</v>
      </c>
    </row>
    <row r="372" spans="1:8" ht="16.5">
      <c r="A372" s="18" t="s">
        <v>97</v>
      </c>
      <c r="B372" s="34" t="s">
        <v>2739</v>
      </c>
      <c r="C372" s="98">
        <f t="shared" si="4"/>
        <v>762700</v>
      </c>
      <c r="D372" s="648"/>
      <c r="E372" s="126">
        <f>mo!L178</f>
        <v>762700</v>
      </c>
      <c r="F372" s="98">
        <f t="shared" si="5"/>
        <v>0</v>
      </c>
      <c r="G372" s="99"/>
      <c r="H372" s="722">
        <f>mo!M178</f>
        <v>0</v>
      </c>
    </row>
    <row r="373" spans="1:8" ht="17.25" thickBot="1">
      <c r="A373" s="19" t="s">
        <v>100</v>
      </c>
      <c r="B373" s="34" t="s">
        <v>2740</v>
      </c>
      <c r="C373" s="113">
        <f>D373+E373</f>
        <v>1620500</v>
      </c>
      <c r="D373" s="130"/>
      <c r="E373" s="124">
        <f>mo!L180</f>
        <v>1620500</v>
      </c>
      <c r="F373" s="113">
        <f>G373+H373</f>
        <v>49743</v>
      </c>
      <c r="G373" s="156"/>
      <c r="H373" s="1173">
        <f>mo!M180</f>
        <v>49743</v>
      </c>
    </row>
    <row r="374" spans="1:8" ht="17.25" thickBot="1">
      <c r="A374" s="497" t="s">
        <v>146</v>
      </c>
      <c r="B374" s="39" t="s">
        <v>147</v>
      </c>
      <c r="C374" s="104">
        <f>D374+E374</f>
        <v>3402892.2199999997</v>
      </c>
      <c r="D374" s="105">
        <f>SUM(D376:D382)</f>
        <v>0</v>
      </c>
      <c r="E374" s="118">
        <f>SUM(E375:E384)</f>
        <v>3402892.2199999997</v>
      </c>
      <c r="F374" s="104">
        <f t="shared" si="5"/>
        <v>219904.32</v>
      </c>
      <c r="G374" s="105">
        <f>SUM(G376:G382)</f>
        <v>0</v>
      </c>
      <c r="H374" s="118">
        <f>SUM(H375:H384)</f>
        <v>219904.32</v>
      </c>
    </row>
    <row r="375" spans="1:8" ht="16.5">
      <c r="A375" s="17" t="s">
        <v>85</v>
      </c>
      <c r="B375" s="34" t="s">
        <v>2741</v>
      </c>
      <c r="C375" s="151">
        <f t="shared" si="4"/>
        <v>370000</v>
      </c>
      <c r="D375" s="96"/>
      <c r="E375" s="97">
        <f>mo!L186</f>
        <v>370000</v>
      </c>
      <c r="F375" s="151">
        <f t="shared" si="5"/>
        <v>216456.32000000001</v>
      </c>
      <c r="G375" s="154"/>
      <c r="H375" s="97">
        <f>mo!M186</f>
        <v>216456.32000000001</v>
      </c>
    </row>
    <row r="376" spans="1:8" ht="16.5">
      <c r="A376" s="19" t="s">
        <v>89</v>
      </c>
      <c r="B376" s="34" t="s">
        <v>2576</v>
      </c>
      <c r="C376" s="599">
        <f t="shared" si="4"/>
        <v>2578592.2199999997</v>
      </c>
      <c r="D376" s="544">
        <v>0</v>
      </c>
      <c r="E376" s="97">
        <f>mo!L188</f>
        <v>2578592.2199999997</v>
      </c>
      <c r="F376" s="599">
        <f t="shared" si="5"/>
        <v>3448</v>
      </c>
      <c r="G376" s="96"/>
      <c r="H376" s="132">
        <f>mo!M188</f>
        <v>3448</v>
      </c>
    </row>
    <row r="377" spans="1:8" ht="16.5">
      <c r="A377" s="19"/>
      <c r="B377" s="34" t="s">
        <v>2817</v>
      </c>
      <c r="C377" s="98">
        <f t="shared" si="4"/>
        <v>0</v>
      </c>
      <c r="D377" s="648"/>
      <c r="E377" s="100">
        <f>mo!L187</f>
        <v>0</v>
      </c>
      <c r="F377" s="98">
        <f t="shared" si="5"/>
        <v>0</v>
      </c>
      <c r="G377" s="99"/>
      <c r="H377" s="100">
        <f>mo!M187</f>
        <v>0</v>
      </c>
    </row>
    <row r="378" spans="1:8" ht="16.5">
      <c r="A378" s="18" t="s">
        <v>91</v>
      </c>
      <c r="B378" s="34" t="s">
        <v>2742</v>
      </c>
      <c r="C378" s="113">
        <f t="shared" si="4"/>
        <v>154300</v>
      </c>
      <c r="D378" s="121"/>
      <c r="E378" s="114">
        <f>mo!L189</f>
        <v>154300</v>
      </c>
      <c r="F378" s="599">
        <f t="shared" si="5"/>
        <v>0</v>
      </c>
      <c r="G378" s="121"/>
      <c r="H378" s="574">
        <f>mo!M189</f>
        <v>0</v>
      </c>
    </row>
    <row r="379" spans="1:8" ht="39">
      <c r="A379" s="9" t="s">
        <v>2340</v>
      </c>
      <c r="B379" s="31" t="s">
        <v>2847</v>
      </c>
      <c r="C379" s="98">
        <f t="shared" si="4"/>
        <v>0</v>
      </c>
      <c r="D379" s="99"/>
      <c r="E379" s="100">
        <f>mo!L193</f>
        <v>0</v>
      </c>
      <c r="F379" s="98">
        <f t="shared" si="5"/>
        <v>0</v>
      </c>
      <c r="G379" s="99"/>
      <c r="H379" s="100">
        <f>mo!M193</f>
        <v>0</v>
      </c>
    </row>
    <row r="380" spans="1:8" ht="16.5">
      <c r="A380" s="18"/>
      <c r="B380" s="31" t="s">
        <v>3253</v>
      </c>
      <c r="C380" s="98">
        <f>D380+E380</f>
        <v>0</v>
      </c>
      <c r="D380" s="99"/>
      <c r="E380" s="100"/>
      <c r="F380" s="98">
        <f>G380+H380</f>
        <v>0</v>
      </c>
      <c r="G380" s="99"/>
      <c r="H380" s="100"/>
    </row>
    <row r="381" spans="1:8" ht="16.5">
      <c r="A381" s="18" t="s">
        <v>95</v>
      </c>
      <c r="B381" s="31" t="s">
        <v>2745</v>
      </c>
      <c r="C381" s="98">
        <f>D381+E381</f>
        <v>0</v>
      </c>
      <c r="D381" s="99"/>
      <c r="E381" s="100">
        <f>mo!L190</f>
        <v>0</v>
      </c>
      <c r="F381" s="98">
        <f>G381+H381</f>
        <v>0</v>
      </c>
      <c r="G381" s="99"/>
      <c r="H381" s="100">
        <f>mo!M190</f>
        <v>0</v>
      </c>
    </row>
    <row r="382" spans="1:8" ht="16.5">
      <c r="A382" s="18" t="s">
        <v>97</v>
      </c>
      <c r="B382" s="31" t="s">
        <v>2743</v>
      </c>
      <c r="C382" s="98">
        <f t="shared" si="4"/>
        <v>50000</v>
      </c>
      <c r="D382" s="99"/>
      <c r="E382" s="100">
        <f>mo!L191</f>
        <v>50000</v>
      </c>
      <c r="F382" s="98">
        <f>G382+H382</f>
        <v>0</v>
      </c>
      <c r="G382" s="99"/>
      <c r="H382" s="100">
        <f>mo!M191</f>
        <v>0</v>
      </c>
    </row>
    <row r="383" spans="1:8" ht="16.5">
      <c r="A383" s="19" t="s">
        <v>100</v>
      </c>
      <c r="B383" s="31" t="s">
        <v>2744</v>
      </c>
      <c r="C383" s="149">
        <f>E383+D383</f>
        <v>250000</v>
      </c>
      <c r="D383" s="102"/>
      <c r="E383" s="103">
        <f>mo!L192</f>
        <v>250000</v>
      </c>
      <c r="F383" s="149">
        <f>H383+G383</f>
        <v>0</v>
      </c>
      <c r="G383" s="102"/>
      <c r="H383" s="103">
        <f>mo!M192</f>
        <v>0</v>
      </c>
    </row>
    <row r="384" spans="1:8" ht="17.25" thickBot="1">
      <c r="A384" s="278"/>
      <c r="B384" s="32" t="s">
        <v>2852</v>
      </c>
      <c r="C384" s="149">
        <f>E384+D384</f>
        <v>0</v>
      </c>
      <c r="D384" s="102"/>
      <c r="E384" s="103">
        <f>mo!L194</f>
        <v>0</v>
      </c>
      <c r="F384" s="149">
        <f>H384+G384</f>
        <v>0</v>
      </c>
      <c r="G384" s="102"/>
      <c r="H384" s="103">
        <f>mo!M194</f>
        <v>0</v>
      </c>
    </row>
    <row r="385" spans="1:9" ht="17.25" thickBot="1">
      <c r="A385" s="1788" t="s">
        <v>2041</v>
      </c>
      <c r="B385" s="1789" t="s">
        <v>2042</v>
      </c>
      <c r="C385" s="1790">
        <f t="shared" si="4"/>
        <v>3141400</v>
      </c>
      <c r="D385" s="1791">
        <f>SUM(D386:D394)</f>
        <v>0</v>
      </c>
      <c r="E385" s="1791">
        <f>SUM(E386:E394)</f>
        <v>3141400</v>
      </c>
      <c r="F385" s="1792">
        <f t="shared" si="5"/>
        <v>423213.27</v>
      </c>
      <c r="G385" s="1791">
        <f>SUM(G386:G394)</f>
        <v>0</v>
      </c>
      <c r="H385" s="1793">
        <f>SUM(H386:H394)</f>
        <v>423213.27</v>
      </c>
    </row>
    <row r="386" spans="1:9" ht="16.5">
      <c r="A386" s="495" t="s">
        <v>85</v>
      </c>
      <c r="B386" s="34" t="s">
        <v>2746</v>
      </c>
      <c r="C386" s="151">
        <f t="shared" si="4"/>
        <v>490000</v>
      </c>
      <c r="D386" s="96"/>
      <c r="E386" s="97">
        <f>mo!L198</f>
        <v>490000</v>
      </c>
      <c r="F386" s="151">
        <f t="shared" si="5"/>
        <v>101953.4</v>
      </c>
      <c r="G386" s="96"/>
      <c r="H386" s="97">
        <f>mo!M198</f>
        <v>101953.4</v>
      </c>
    </row>
    <row r="387" spans="1:9" ht="16.5">
      <c r="A387" s="9" t="s">
        <v>87</v>
      </c>
      <c r="B387" s="34" t="s">
        <v>2747</v>
      </c>
      <c r="C387" s="151">
        <f t="shared" si="4"/>
        <v>265000</v>
      </c>
      <c r="D387" s="96"/>
      <c r="E387" s="97">
        <f>mo!L199</f>
        <v>265000</v>
      </c>
      <c r="F387" s="151">
        <f t="shared" si="5"/>
        <v>47616.75</v>
      </c>
      <c r="G387" s="96"/>
      <c r="H387" s="97">
        <f>mo!M199</f>
        <v>47616.75</v>
      </c>
    </row>
    <row r="388" spans="1:9" ht="16.5">
      <c r="A388" s="9" t="s">
        <v>25</v>
      </c>
      <c r="B388" s="34" t="s">
        <v>2748</v>
      </c>
      <c r="C388" s="151">
        <f t="shared" si="4"/>
        <v>0</v>
      </c>
      <c r="D388" s="96"/>
      <c r="E388" s="97">
        <f>mo!L200</f>
        <v>0</v>
      </c>
      <c r="F388" s="151">
        <f t="shared" si="5"/>
        <v>0</v>
      </c>
      <c r="G388" s="96"/>
      <c r="H388" s="97">
        <f>mo!M200</f>
        <v>0</v>
      </c>
    </row>
    <row r="389" spans="1:9" ht="16.5">
      <c r="A389" s="19" t="s">
        <v>89</v>
      </c>
      <c r="B389" s="34" t="s">
        <v>2749</v>
      </c>
      <c r="C389" s="151">
        <f t="shared" si="4"/>
        <v>1046400</v>
      </c>
      <c r="D389" s="96"/>
      <c r="E389" s="97">
        <f>mo!L201</f>
        <v>1046400</v>
      </c>
      <c r="F389" s="151">
        <f t="shared" si="5"/>
        <v>127252.91</v>
      </c>
      <c r="G389" s="96"/>
      <c r="H389" s="97">
        <f>mo!M201</f>
        <v>127252.91</v>
      </c>
    </row>
    <row r="390" spans="1:9" ht="16.5">
      <c r="A390" s="18" t="s">
        <v>91</v>
      </c>
      <c r="B390" s="34" t="s">
        <v>2761</v>
      </c>
      <c r="C390" s="98">
        <f>E390</f>
        <v>330000</v>
      </c>
      <c r="D390" s="96"/>
      <c r="E390" s="97">
        <f>mo!L202</f>
        <v>330000</v>
      </c>
      <c r="F390" s="98"/>
      <c r="G390" s="96"/>
      <c r="H390" s="97">
        <f>mo!M202</f>
        <v>13794</v>
      </c>
    </row>
    <row r="391" spans="1:9" ht="16.5">
      <c r="A391" s="18" t="s">
        <v>97</v>
      </c>
      <c r="B391" s="34" t="s">
        <v>2750</v>
      </c>
      <c r="C391" s="98">
        <f t="shared" si="4"/>
        <v>115000</v>
      </c>
      <c r="D391" s="99"/>
      <c r="E391" s="100">
        <f>mo!L203</f>
        <v>115000</v>
      </c>
      <c r="F391" s="98">
        <f t="shared" si="5"/>
        <v>0</v>
      </c>
      <c r="G391" s="99"/>
      <c r="H391" s="100">
        <f>mo!M203</f>
        <v>0</v>
      </c>
    </row>
    <row r="392" spans="1:9" ht="16.5">
      <c r="A392" s="19" t="s">
        <v>100</v>
      </c>
      <c r="B392" s="34" t="s">
        <v>2751</v>
      </c>
      <c r="C392" s="98">
        <f>D392+E392</f>
        <v>265000</v>
      </c>
      <c r="D392" s="96"/>
      <c r="E392" s="97">
        <f>mo!L204</f>
        <v>265000</v>
      </c>
      <c r="F392" s="98">
        <f t="shared" si="5"/>
        <v>44090</v>
      </c>
      <c r="G392" s="96"/>
      <c r="H392" s="97">
        <f>mo!M204</f>
        <v>44090</v>
      </c>
    </row>
    <row r="393" spans="1:9" ht="16.5">
      <c r="A393" s="278"/>
      <c r="B393" s="34" t="s">
        <v>2820</v>
      </c>
      <c r="C393" s="599">
        <f>D393+E393</f>
        <v>10000</v>
      </c>
      <c r="D393" s="96"/>
      <c r="E393" s="97">
        <f>mo!L205</f>
        <v>10000</v>
      </c>
      <c r="F393" s="98"/>
      <c r="G393" s="96"/>
      <c r="H393" s="152"/>
    </row>
    <row r="394" spans="1:9" ht="39.75" thickBot="1">
      <c r="A394" s="278" t="s">
        <v>2340</v>
      </c>
      <c r="B394" s="34" t="s">
        <v>2752</v>
      </c>
      <c r="C394" s="151">
        <f>E394</f>
        <v>620000</v>
      </c>
      <c r="D394" s="96"/>
      <c r="E394" s="97">
        <f>mo!L206</f>
        <v>620000</v>
      </c>
      <c r="F394" s="151">
        <f>H394</f>
        <v>88506.209999999992</v>
      </c>
      <c r="G394" s="96"/>
      <c r="H394" s="152">
        <f>mo!M206</f>
        <v>88506.209999999992</v>
      </c>
    </row>
    <row r="395" spans="1:9" ht="27" thickBot="1">
      <c r="A395" s="740" t="s">
        <v>2076</v>
      </c>
      <c r="B395" s="424" t="s">
        <v>2012</v>
      </c>
      <c r="C395" s="150">
        <f>D395</f>
        <v>0</v>
      </c>
      <c r="D395" s="117">
        <f>D396</f>
        <v>0</v>
      </c>
      <c r="E395" s="118"/>
      <c r="F395" s="150">
        <f>G395</f>
        <v>0</v>
      </c>
      <c r="G395" s="117">
        <f>G396</f>
        <v>0</v>
      </c>
      <c r="H395" s="148"/>
    </row>
    <row r="396" spans="1:9" ht="26.25">
      <c r="A396" s="278" t="s">
        <v>144</v>
      </c>
      <c r="B396" s="34" t="s">
        <v>1851</v>
      </c>
      <c r="C396" s="151">
        <f>D396</f>
        <v>0</v>
      </c>
      <c r="D396" s="96"/>
      <c r="E396" s="97"/>
      <c r="F396" s="151">
        <f>G396</f>
        <v>0</v>
      </c>
      <c r="G396" s="96"/>
      <c r="H396" s="97"/>
    </row>
    <row r="397" spans="1:9" ht="17.25" thickBot="1">
      <c r="A397" s="1096" t="s">
        <v>148</v>
      </c>
      <c r="B397" s="1095" t="s">
        <v>149</v>
      </c>
      <c r="C397" s="421">
        <f t="shared" si="4"/>
        <v>186209333.99999997</v>
      </c>
      <c r="D397" s="1174">
        <f>D410+D434+D468+D459</f>
        <v>186209333.99999997</v>
      </c>
      <c r="E397" s="1774">
        <f>E410+E434+E459+E468</f>
        <v>0</v>
      </c>
      <c r="F397" s="421">
        <f t="shared" si="5"/>
        <v>38517658.869999997</v>
      </c>
      <c r="G397" s="426">
        <f>SUM(G398:G409)</f>
        <v>38517658.869999997</v>
      </c>
      <c r="H397" s="1774">
        <f>H410+H434+H459+H468</f>
        <v>0</v>
      </c>
      <c r="I397" s="10"/>
    </row>
    <row r="398" spans="1:9" ht="16.5">
      <c r="A398" s="18" t="s">
        <v>77</v>
      </c>
      <c r="B398" s="31" t="s">
        <v>150</v>
      </c>
      <c r="C398" s="95">
        <f t="shared" si="4"/>
        <v>117962200</v>
      </c>
      <c r="D398" s="99">
        <f>D411+D435+D469+D472</f>
        <v>117962200</v>
      </c>
      <c r="E398" s="1772">
        <f>E411+E435+E469+E472</f>
        <v>0</v>
      </c>
      <c r="F398" s="95">
        <f t="shared" si="5"/>
        <v>24835512.629999999</v>
      </c>
      <c r="G398" s="99">
        <f>G411+G435+G469+G472</f>
        <v>24835512.629999999</v>
      </c>
      <c r="H398" s="1772">
        <f>H411+H435+H469+H472</f>
        <v>0</v>
      </c>
    </row>
    <row r="399" spans="1:9" ht="16.5">
      <c r="A399" s="18" t="s">
        <v>79</v>
      </c>
      <c r="B399" s="31" t="s">
        <v>151</v>
      </c>
      <c r="C399" s="98">
        <f t="shared" si="4"/>
        <v>1413971.97</v>
      </c>
      <c r="D399" s="99">
        <f>D413+D437+D471+D474</f>
        <v>1413971.97</v>
      </c>
      <c r="E399" s="1772">
        <f>E413+E437+E471+E474</f>
        <v>0</v>
      </c>
      <c r="F399" s="98">
        <f t="shared" si="5"/>
        <v>973419.23</v>
      </c>
      <c r="G399" s="99">
        <f>G413+G437+G471+G474</f>
        <v>973419.23</v>
      </c>
      <c r="H399" s="1772">
        <f>H413+H437+H471+H474</f>
        <v>0</v>
      </c>
    </row>
    <row r="400" spans="1:9" ht="16.5">
      <c r="A400" s="18" t="s">
        <v>81</v>
      </c>
      <c r="B400" s="31" t="s">
        <v>152</v>
      </c>
      <c r="C400" s="98">
        <f t="shared" si="4"/>
        <v>35624100</v>
      </c>
      <c r="D400" s="99">
        <f>D412+D436+D470+D473</f>
        <v>35624100</v>
      </c>
      <c r="E400" s="1772">
        <f>E412+E436+E470+E473</f>
        <v>0</v>
      </c>
      <c r="F400" s="98">
        <f t="shared" si="5"/>
        <v>7189717.1500000004</v>
      </c>
      <c r="G400" s="99">
        <f>G412+G436+G470+G473</f>
        <v>7189717.1500000004</v>
      </c>
      <c r="H400" s="1772">
        <f>H412+H436+H470+H473</f>
        <v>0</v>
      </c>
    </row>
    <row r="401" spans="1:9" ht="16.5">
      <c r="A401" s="18" t="s">
        <v>83</v>
      </c>
      <c r="B401" s="58" t="s">
        <v>153</v>
      </c>
      <c r="C401" s="98">
        <f t="shared" si="4"/>
        <v>796600</v>
      </c>
      <c r="D401" s="99">
        <f>D419+D443+D449+D461+D479</f>
        <v>796600</v>
      </c>
      <c r="E401" s="1772">
        <f>E419+E443+E449+E461+E479</f>
        <v>0</v>
      </c>
      <c r="F401" s="98">
        <f t="shared" si="5"/>
        <v>171663.07</v>
      </c>
      <c r="G401" s="99">
        <f>G419+G443+G449+G461+G479</f>
        <v>171663.07</v>
      </c>
      <c r="H401" s="1772">
        <f>H419+H443+H449+H461+H479</f>
        <v>0</v>
      </c>
    </row>
    <row r="402" spans="1:9" ht="16.5">
      <c r="A402" s="18" t="s">
        <v>85</v>
      </c>
      <c r="B402" s="31" t="s">
        <v>154</v>
      </c>
      <c r="C402" s="98">
        <f t="shared" si="4"/>
        <v>389940</v>
      </c>
      <c r="D402" s="99">
        <f>D425+D450+D462+D484</f>
        <v>389940</v>
      </c>
      <c r="E402" s="1772">
        <f>E425+E450+E462+E484</f>
        <v>0</v>
      </c>
      <c r="F402" s="98">
        <f t="shared" si="5"/>
        <v>186030</v>
      </c>
      <c r="G402" s="99">
        <f>G425+G450+G462+G484</f>
        <v>186030</v>
      </c>
      <c r="H402" s="1772">
        <f>H425+H450+H462+H484</f>
        <v>0</v>
      </c>
    </row>
    <row r="403" spans="1:9" ht="16.5">
      <c r="A403" s="18" t="s">
        <v>87</v>
      </c>
      <c r="B403" s="31" t="s">
        <v>155</v>
      </c>
      <c r="C403" s="98">
        <f t="shared" si="4"/>
        <v>4615824.46</v>
      </c>
      <c r="D403" s="99">
        <f>D426+D451+D485</f>
        <v>4615824.46</v>
      </c>
      <c r="E403" s="1772">
        <f>E426+E451+E485</f>
        <v>0</v>
      </c>
      <c r="F403" s="98">
        <f t="shared" si="5"/>
        <v>3302097.2899999996</v>
      </c>
      <c r="G403" s="99">
        <f>G426+G451+G485</f>
        <v>3302097.2899999996</v>
      </c>
      <c r="H403" s="1772">
        <f>H426+H451+H485</f>
        <v>0</v>
      </c>
    </row>
    <row r="404" spans="1:9" ht="16.5">
      <c r="A404" s="18" t="s">
        <v>25</v>
      </c>
      <c r="B404" s="31" t="s">
        <v>40</v>
      </c>
      <c r="C404" s="98">
        <f t="shared" si="4"/>
        <v>0</v>
      </c>
      <c r="D404" s="99"/>
      <c r="E404" s="1772"/>
      <c r="F404" s="98">
        <f t="shared" si="5"/>
        <v>0</v>
      </c>
      <c r="G404" s="99"/>
      <c r="H404" s="1772"/>
    </row>
    <row r="405" spans="1:9" ht="16.5">
      <c r="A405" s="18" t="s">
        <v>89</v>
      </c>
      <c r="B405" s="31" t="s">
        <v>156</v>
      </c>
      <c r="C405" s="98">
        <f t="shared" si="4"/>
        <v>645764.4</v>
      </c>
      <c r="D405" s="99">
        <f>D420+D427+D448+D444+D480+D486+D452+D463+D421</f>
        <v>645764.4</v>
      </c>
      <c r="E405" s="1772">
        <f>E420+E427+E448+E444+E480+E486</f>
        <v>0</v>
      </c>
      <c r="F405" s="98">
        <f t="shared" si="5"/>
        <v>55776.11</v>
      </c>
      <c r="G405" s="99">
        <f>G420+G427+G448+G444+G480+G486+G452+G463+G421</f>
        <v>55776.11</v>
      </c>
      <c r="H405" s="1772">
        <f>H420+H427+H448+H444+H480+H486</f>
        <v>0</v>
      </c>
    </row>
    <row r="406" spans="1:9" ht="16.5">
      <c r="A406" s="18" t="s">
        <v>91</v>
      </c>
      <c r="B406" s="31" t="s">
        <v>157</v>
      </c>
      <c r="C406" s="98">
        <f t="shared" si="4"/>
        <v>1509338.47</v>
      </c>
      <c r="D406" s="99">
        <f>D422+D428+D445+D453+D464+D481+D487</f>
        <v>1509338.47</v>
      </c>
      <c r="E406" s="1772">
        <f>E422+E428+E445+E453+E464+E481+E487</f>
        <v>0</v>
      </c>
      <c r="F406" s="98">
        <f t="shared" si="5"/>
        <v>132228.72</v>
      </c>
      <c r="G406" s="99">
        <f>G422+G428+G445+G453+G464+G481+G487</f>
        <v>132228.72</v>
      </c>
      <c r="H406" s="1772">
        <f>H422+H428+H445+H453+H464+H481+H487</f>
        <v>0</v>
      </c>
    </row>
    <row r="407" spans="1:9" ht="16.5">
      <c r="A407" s="18" t="s">
        <v>95</v>
      </c>
      <c r="B407" s="31" t="s">
        <v>158</v>
      </c>
      <c r="C407" s="98">
        <f t="shared" si="4"/>
        <v>740913.02</v>
      </c>
      <c r="D407" s="99">
        <f>D429+D432+D433+D454+D457+D458+D465+D488+D491+D492</f>
        <v>740913.02</v>
      </c>
      <c r="E407" s="1772">
        <f>E429+E432+E433+E454+E457+E458+E465+E488+E491+E492</f>
        <v>0</v>
      </c>
      <c r="F407" s="98">
        <f t="shared" si="5"/>
        <v>178106.81</v>
      </c>
      <c r="G407" s="99">
        <f>G429+G432+G433+G454+G457+G458+G465+G488+G491+G492</f>
        <v>178106.81</v>
      </c>
      <c r="H407" s="1772">
        <f>H429+H432+H433+H454+H457+H458+H465+H488+H491+H492</f>
        <v>0</v>
      </c>
    </row>
    <row r="408" spans="1:9" ht="16.5">
      <c r="A408" s="18" t="s">
        <v>97</v>
      </c>
      <c r="B408" s="31" t="s">
        <v>159</v>
      </c>
      <c r="C408" s="98">
        <f t="shared" si="4"/>
        <v>971806.79</v>
      </c>
      <c r="D408" s="99">
        <f>D423+D430+D446+D455++D466+D482+D489</f>
        <v>971806.79</v>
      </c>
      <c r="E408" s="1772">
        <f>E423+E430+E446+E455++E466+E482+E489</f>
        <v>0</v>
      </c>
      <c r="F408" s="98">
        <f t="shared" si="5"/>
        <v>64446.66</v>
      </c>
      <c r="G408" s="99">
        <f>G423+G430+G446+G455++G466+G482+G489</f>
        <v>64446.66</v>
      </c>
      <c r="H408" s="1772">
        <f>H423+H430+H446+H455++H466+H482+H489</f>
        <v>0</v>
      </c>
    </row>
    <row r="409" spans="1:9" ht="17.25" thickBot="1">
      <c r="A409" s="19" t="s">
        <v>100</v>
      </c>
      <c r="B409" s="32" t="s">
        <v>160</v>
      </c>
      <c r="C409" s="101">
        <f t="shared" si="4"/>
        <v>21538874.890000001</v>
      </c>
      <c r="D409" s="102">
        <f>D424+D431+D447+D456+D467+D483+D490</f>
        <v>21538874.890000001</v>
      </c>
      <c r="E409" s="1773">
        <f>E424+E431+E447+E456+E467+E483+E490</f>
        <v>0</v>
      </c>
      <c r="F409" s="101">
        <f t="shared" si="5"/>
        <v>1428661.2000000002</v>
      </c>
      <c r="G409" s="102">
        <f>G424+G431+G447+G456+G467+G483+G490</f>
        <v>1428661.2000000002</v>
      </c>
      <c r="H409" s="1773">
        <f>H424+H431+H447+H456+H467+H483+H490</f>
        <v>0</v>
      </c>
    </row>
    <row r="410" spans="1:9" ht="17.25" thickBot="1">
      <c r="A410" s="279" t="s">
        <v>161</v>
      </c>
      <c r="B410" s="33" t="s">
        <v>162</v>
      </c>
      <c r="C410" s="104">
        <f t="shared" si="4"/>
        <v>41758268.899999999</v>
      </c>
      <c r="D410" s="105">
        <f>D411+D412+D413+D419+D420+D421+D422+D423+D424+D425+D426+D427+D428+D429+D430+D431+D432+D433</f>
        <v>41758268.899999999</v>
      </c>
      <c r="E410" s="106"/>
      <c r="F410" s="104">
        <f t="shared" si="5"/>
        <v>8891978.6000000015</v>
      </c>
      <c r="G410" s="105">
        <f>G411+G412+G413+G419+G420+G421+G422+G423+G424+G425+G426+G427+G428+G429+G430+G431+G432+G433</f>
        <v>8891978.6000000015</v>
      </c>
      <c r="H410" s="128"/>
    </row>
    <row r="411" spans="1:9" ht="16.5">
      <c r="A411" s="17" t="s">
        <v>77</v>
      </c>
      <c r="B411" s="477" t="s">
        <v>2577</v>
      </c>
      <c r="C411" s="95">
        <f t="shared" si="4"/>
        <v>24121800</v>
      </c>
      <c r="D411" s="1110">
        <v>24121800</v>
      </c>
      <c r="E411" s="155"/>
      <c r="F411" s="95">
        <f t="shared" si="5"/>
        <v>5212756.5599999996</v>
      </c>
      <c r="G411" s="2003">
        <v>5212756.5599999996</v>
      </c>
      <c r="H411" s="132"/>
    </row>
    <row r="412" spans="1:9" ht="16.5">
      <c r="A412" s="18" t="s">
        <v>81</v>
      </c>
      <c r="B412" s="477" t="s">
        <v>3277</v>
      </c>
      <c r="C412" s="98">
        <f t="shared" ref="C412:C520" si="12">D412+E412</f>
        <v>7284500</v>
      </c>
      <c r="D412" s="1100">
        <v>7284500</v>
      </c>
      <c r="E412" s="126"/>
      <c r="F412" s="98">
        <f t="shared" ref="F412:F520" si="13">G412+H412</f>
        <v>1904936.07</v>
      </c>
      <c r="G412" s="499">
        <v>1904936.07</v>
      </c>
      <c r="H412" s="133"/>
    </row>
    <row r="413" spans="1:9" ht="16.5">
      <c r="A413" s="18" t="s">
        <v>79</v>
      </c>
      <c r="B413" s="477" t="s">
        <v>2578</v>
      </c>
      <c r="C413" s="98">
        <f t="shared" si="12"/>
        <v>403336.14</v>
      </c>
      <c r="D413" s="1100">
        <v>403336.14</v>
      </c>
      <c r="E413" s="126"/>
      <c r="F413" s="98">
        <f t="shared" si="13"/>
        <v>341287</v>
      </c>
      <c r="G413" s="499">
        <v>341287</v>
      </c>
      <c r="H413" s="133"/>
    </row>
    <row r="414" spans="1:9" ht="16.5">
      <c r="A414" s="18"/>
      <c r="B414" s="477" t="s">
        <v>3324</v>
      </c>
      <c r="C414" s="98"/>
      <c r="D414" s="1100">
        <f>D419+D420+D422+D423+D424</f>
        <v>115232.8</v>
      </c>
      <c r="E414" s="126"/>
      <c r="F414" s="98"/>
      <c r="G414" s="1100">
        <f>G419+G420+G422+G423+G424</f>
        <v>20875.84</v>
      </c>
      <c r="H414" s="133"/>
    </row>
    <row r="415" spans="1:9" ht="16.5">
      <c r="A415" s="18"/>
      <c r="B415" s="477" t="s">
        <v>3328</v>
      </c>
      <c r="C415" s="98"/>
      <c r="D415" s="1100">
        <f>D421</f>
        <v>0</v>
      </c>
      <c r="E415" s="126"/>
      <c r="F415" s="98"/>
      <c r="G415" s="1100">
        <f>G421</f>
        <v>0</v>
      </c>
      <c r="H415" s="133"/>
    </row>
    <row r="416" spans="1:9" ht="16.5">
      <c r="A416" s="18"/>
      <c r="B416" s="477" t="s">
        <v>3325</v>
      </c>
      <c r="C416" s="98"/>
      <c r="D416" s="1100">
        <f>D425+D426+D427+D428+D429+D430+D431</f>
        <v>9691399.9600000009</v>
      </c>
      <c r="E416" s="126"/>
      <c r="F416" s="98"/>
      <c r="G416" s="1100">
        <f>G425+G426+G427+G428+G429+G430+G431</f>
        <v>1400262.75</v>
      </c>
      <c r="H416" s="133"/>
      <c r="I416" s="547"/>
    </row>
    <row r="417" spans="1:8" ht="16.5">
      <c r="A417" s="18"/>
      <c r="B417" s="477" t="s">
        <v>3326</v>
      </c>
      <c r="C417" s="98"/>
      <c r="D417" s="1100">
        <f>D432</f>
        <v>101000</v>
      </c>
      <c r="E417" s="126"/>
      <c r="F417" s="98"/>
      <c r="G417" s="1100">
        <f>G432</f>
        <v>0</v>
      </c>
      <c r="H417" s="133"/>
    </row>
    <row r="418" spans="1:8" ht="16.5">
      <c r="A418" s="18"/>
      <c r="B418" s="477" t="s">
        <v>3327</v>
      </c>
      <c r="C418" s="98"/>
      <c r="D418" s="1100">
        <f>D433</f>
        <v>41000</v>
      </c>
      <c r="E418" s="126"/>
      <c r="F418" s="98"/>
      <c r="G418" s="1100">
        <f>G433</f>
        <v>11860.38</v>
      </c>
      <c r="H418" s="133"/>
    </row>
    <row r="419" spans="1:8" ht="16.5">
      <c r="A419" s="18" t="s">
        <v>83</v>
      </c>
      <c r="B419" s="34" t="s">
        <v>2579</v>
      </c>
      <c r="C419" s="98">
        <f t="shared" si="12"/>
        <v>74900</v>
      </c>
      <c r="D419" s="648">
        <v>74900</v>
      </c>
      <c r="E419" s="100"/>
      <c r="F419" s="98">
        <f t="shared" si="13"/>
        <v>20875.84</v>
      </c>
      <c r="G419" s="111">
        <v>20875.84</v>
      </c>
      <c r="H419" s="133"/>
    </row>
    <row r="420" spans="1:8" ht="16.5">
      <c r="A420" s="18" t="s">
        <v>89</v>
      </c>
      <c r="B420" s="34" t="s">
        <v>2580</v>
      </c>
      <c r="C420" s="98">
        <f t="shared" si="12"/>
        <v>7632.8</v>
      </c>
      <c r="D420" s="648">
        <v>7632.8</v>
      </c>
      <c r="E420" s="100"/>
      <c r="F420" s="98">
        <f t="shared" si="13"/>
        <v>0</v>
      </c>
      <c r="G420" s="111"/>
      <c r="H420" s="133"/>
    </row>
    <row r="421" spans="1:8" ht="16.5">
      <c r="A421" s="18" t="s">
        <v>89</v>
      </c>
      <c r="B421" s="34" t="s">
        <v>3278</v>
      </c>
      <c r="C421" s="98">
        <f t="shared" ref="C421" si="14">D421+E421</f>
        <v>0</v>
      </c>
      <c r="D421" s="648">
        <v>0</v>
      </c>
      <c r="E421" s="100"/>
      <c r="F421" s="98">
        <f t="shared" si="13"/>
        <v>0</v>
      </c>
      <c r="G421" s="111"/>
      <c r="H421" s="133"/>
    </row>
    <row r="422" spans="1:8" ht="16.5">
      <c r="A422" s="18" t="s">
        <v>91</v>
      </c>
      <c r="B422" s="34" t="s">
        <v>2581</v>
      </c>
      <c r="C422" s="98">
        <f t="shared" si="12"/>
        <v>4500</v>
      </c>
      <c r="D422" s="648">
        <v>4500</v>
      </c>
      <c r="E422" s="100"/>
      <c r="F422" s="98">
        <f t="shared" si="13"/>
        <v>0</v>
      </c>
      <c r="G422" s="111"/>
      <c r="H422" s="133"/>
    </row>
    <row r="423" spans="1:8" ht="16.5">
      <c r="A423" s="18" t="s">
        <v>97</v>
      </c>
      <c r="B423" s="34" t="s">
        <v>2582</v>
      </c>
      <c r="C423" s="98">
        <f t="shared" si="12"/>
        <v>0</v>
      </c>
      <c r="D423" s="648">
        <v>0</v>
      </c>
      <c r="E423" s="100"/>
      <c r="F423" s="98">
        <f t="shared" si="13"/>
        <v>0</v>
      </c>
      <c r="G423" s="111"/>
      <c r="H423" s="133"/>
    </row>
    <row r="424" spans="1:8" ht="16.5">
      <c r="A424" s="19" t="s">
        <v>100</v>
      </c>
      <c r="B424" s="34" t="s">
        <v>2583</v>
      </c>
      <c r="C424" s="98">
        <f t="shared" si="12"/>
        <v>28200</v>
      </c>
      <c r="D424" s="648">
        <v>28200</v>
      </c>
      <c r="E424" s="100"/>
      <c r="F424" s="98">
        <f t="shared" si="13"/>
        <v>0</v>
      </c>
      <c r="G424" s="111"/>
      <c r="H424" s="133"/>
    </row>
    <row r="425" spans="1:8" ht="16.5">
      <c r="A425" s="18" t="s">
        <v>85</v>
      </c>
      <c r="B425" s="34" t="s">
        <v>2584</v>
      </c>
      <c r="C425" s="98">
        <f t="shared" si="12"/>
        <v>46300</v>
      </c>
      <c r="D425" s="648">
        <v>46300</v>
      </c>
      <c r="E425" s="100"/>
      <c r="F425" s="98">
        <f t="shared" si="13"/>
        <v>14030</v>
      </c>
      <c r="G425" s="111">
        <v>14030</v>
      </c>
      <c r="H425" s="133"/>
    </row>
    <row r="426" spans="1:8" ht="16.5">
      <c r="A426" s="18" t="s">
        <v>87</v>
      </c>
      <c r="B426" s="34" t="s">
        <v>2585</v>
      </c>
      <c r="C426" s="98">
        <f t="shared" si="12"/>
        <v>728805.11</v>
      </c>
      <c r="D426" s="648">
        <v>728805.11</v>
      </c>
      <c r="E426" s="100"/>
      <c r="F426" s="98">
        <f t="shared" si="13"/>
        <v>461464.57</v>
      </c>
      <c r="G426" s="111">
        <v>461464.57</v>
      </c>
      <c r="H426" s="133"/>
    </row>
    <row r="427" spans="1:8" ht="16.5">
      <c r="A427" s="18" t="s">
        <v>89</v>
      </c>
      <c r="B427" s="34" t="s">
        <v>2586</v>
      </c>
      <c r="C427" s="98">
        <f t="shared" si="12"/>
        <v>137427.47</v>
      </c>
      <c r="D427" s="648">
        <v>137427.47</v>
      </c>
      <c r="E427" s="100"/>
      <c r="F427" s="98">
        <f t="shared" si="13"/>
        <v>19777</v>
      </c>
      <c r="G427" s="111">
        <v>19777</v>
      </c>
      <c r="H427" s="133"/>
    </row>
    <row r="428" spans="1:8" ht="16.5">
      <c r="A428" s="18" t="s">
        <v>91</v>
      </c>
      <c r="B428" s="34" t="s">
        <v>2587</v>
      </c>
      <c r="C428" s="98">
        <f t="shared" si="12"/>
        <v>472447.64</v>
      </c>
      <c r="D428" s="648">
        <v>472447.64</v>
      </c>
      <c r="E428" s="100"/>
      <c r="F428" s="98">
        <f t="shared" si="13"/>
        <v>38843.4</v>
      </c>
      <c r="G428" s="111">
        <v>38843.4</v>
      </c>
      <c r="H428" s="133"/>
    </row>
    <row r="429" spans="1:8" ht="16.5">
      <c r="A429" s="18" t="s">
        <v>95</v>
      </c>
      <c r="B429" s="34" t="s">
        <v>2588</v>
      </c>
      <c r="C429" s="98">
        <f t="shared" si="12"/>
        <v>6448</v>
      </c>
      <c r="D429" s="648">
        <v>6448</v>
      </c>
      <c r="E429" s="100"/>
      <c r="F429" s="98">
        <f t="shared" si="13"/>
        <v>0</v>
      </c>
      <c r="G429" s="111"/>
      <c r="H429" s="133"/>
    </row>
    <row r="430" spans="1:8" ht="16.5">
      <c r="A430" s="18" t="s">
        <v>97</v>
      </c>
      <c r="B430" s="34" t="s">
        <v>2589</v>
      </c>
      <c r="C430" s="98">
        <f t="shared" si="12"/>
        <v>129140</v>
      </c>
      <c r="D430" s="648">
        <v>129140</v>
      </c>
      <c r="E430" s="100"/>
      <c r="F430" s="98">
        <f t="shared" si="13"/>
        <v>1860</v>
      </c>
      <c r="G430" s="111">
        <v>1860</v>
      </c>
      <c r="H430" s="133"/>
    </row>
    <row r="431" spans="1:8" ht="16.5">
      <c r="A431" s="19" t="s">
        <v>100</v>
      </c>
      <c r="B431" s="34" t="s">
        <v>2590</v>
      </c>
      <c r="C431" s="98">
        <f t="shared" si="12"/>
        <v>8170831.7400000002</v>
      </c>
      <c r="D431" s="648">
        <v>8170831.7400000002</v>
      </c>
      <c r="E431" s="100"/>
      <c r="F431" s="98">
        <f t="shared" si="13"/>
        <v>864287.78</v>
      </c>
      <c r="G431" s="111">
        <v>864287.78</v>
      </c>
      <c r="H431" s="133"/>
    </row>
    <row r="432" spans="1:8" ht="16.5">
      <c r="A432" s="18" t="s">
        <v>95</v>
      </c>
      <c r="B432" s="34" t="s">
        <v>2591</v>
      </c>
      <c r="C432" s="98">
        <f t="shared" si="12"/>
        <v>101000</v>
      </c>
      <c r="D432" s="648">
        <v>101000</v>
      </c>
      <c r="E432" s="100"/>
      <c r="F432" s="98">
        <f t="shared" si="13"/>
        <v>0</v>
      </c>
      <c r="G432" s="111"/>
      <c r="H432" s="133"/>
    </row>
    <row r="433" spans="1:9" ht="17.25" thickBot="1">
      <c r="A433" s="18" t="s">
        <v>95</v>
      </c>
      <c r="B433" s="34" t="s">
        <v>2592</v>
      </c>
      <c r="C433" s="101">
        <f t="shared" si="12"/>
        <v>41000</v>
      </c>
      <c r="D433" s="102">
        <v>41000</v>
      </c>
      <c r="E433" s="103"/>
      <c r="F433" s="101">
        <f t="shared" si="13"/>
        <v>11860.38</v>
      </c>
      <c r="G433" s="115">
        <v>11860.38</v>
      </c>
      <c r="H433" s="134"/>
    </row>
    <row r="434" spans="1:9" ht="17.25" thickBot="1">
      <c r="A434" s="282" t="s">
        <v>163</v>
      </c>
      <c r="B434" s="33" t="s">
        <v>165</v>
      </c>
      <c r="C434" s="104">
        <f t="shared" si="12"/>
        <v>129528725.09999998</v>
      </c>
      <c r="D434" s="105">
        <f>D435+D436+D437+D443+D444+D445+D446+D447+D449+D450+D451+D452+D453+D454+D455+D456+D457+D458+D448</f>
        <v>129528725.09999998</v>
      </c>
      <c r="E434" s="106"/>
      <c r="F434" s="104">
        <f t="shared" si="13"/>
        <v>26121747.100000001</v>
      </c>
      <c r="G434" s="105">
        <f>G435+G436+G437+G443+G444+G445+G446+G447+G449+G450+G451+G452+G453+G454+G455+G456+G457+G458</f>
        <v>26121747.100000001</v>
      </c>
      <c r="H434" s="128"/>
    </row>
    <row r="435" spans="1:9" ht="16.5">
      <c r="A435" s="17" t="s">
        <v>77</v>
      </c>
      <c r="B435" s="477" t="s">
        <v>2593</v>
      </c>
      <c r="C435" s="98">
        <f t="shared" si="12"/>
        <v>84040400</v>
      </c>
      <c r="D435" s="154">
        <v>84040400</v>
      </c>
      <c r="E435" s="155"/>
      <c r="F435" s="95">
        <f t="shared" si="13"/>
        <v>17193110.420000002</v>
      </c>
      <c r="G435" s="2003">
        <v>17193110.420000002</v>
      </c>
      <c r="H435" s="2004"/>
    </row>
    <row r="436" spans="1:9" ht="16.5">
      <c r="A436" s="18" t="s">
        <v>81</v>
      </c>
      <c r="B436" s="477" t="s">
        <v>3279</v>
      </c>
      <c r="C436" s="98">
        <f t="shared" si="12"/>
        <v>25380000</v>
      </c>
      <c r="D436" s="153">
        <v>25380000</v>
      </c>
      <c r="E436" s="126"/>
      <c r="F436" s="98">
        <f t="shared" si="13"/>
        <v>4492919.25</v>
      </c>
      <c r="G436" s="499">
        <v>4492919.25</v>
      </c>
      <c r="H436" s="2005"/>
    </row>
    <row r="437" spans="1:9" ht="16.5">
      <c r="A437" s="18" t="s">
        <v>79</v>
      </c>
      <c r="B437" s="477" t="s">
        <v>2594</v>
      </c>
      <c r="C437" s="98">
        <f t="shared" si="12"/>
        <v>910635.83</v>
      </c>
      <c r="D437" s="1100">
        <v>910635.83</v>
      </c>
      <c r="E437" s="126"/>
      <c r="F437" s="98">
        <f t="shared" si="13"/>
        <v>615352.23</v>
      </c>
      <c r="G437" s="499">
        <v>615352.23</v>
      </c>
      <c r="H437" s="2005"/>
    </row>
    <row r="438" spans="1:9" ht="16.5">
      <c r="A438" s="18"/>
      <c r="B438" s="477" t="s">
        <v>3329</v>
      </c>
      <c r="C438" s="98"/>
      <c r="D438" s="1100">
        <f>D443+D444+D445+D446+D447</f>
        <v>834939.77</v>
      </c>
      <c r="E438" s="126"/>
      <c r="F438" s="98"/>
      <c r="G438" s="1100">
        <f>G443+G444+G445+G446+G447</f>
        <v>88842.95</v>
      </c>
      <c r="H438" s="2005"/>
    </row>
    <row r="439" spans="1:9" ht="16.5">
      <c r="A439" s="18"/>
      <c r="B439" s="477" t="s">
        <v>3333</v>
      </c>
      <c r="C439" s="98"/>
      <c r="D439" s="1100">
        <f>D448</f>
        <v>0</v>
      </c>
      <c r="E439" s="126"/>
      <c r="F439" s="98"/>
      <c r="G439" s="1100">
        <f>G448</f>
        <v>0</v>
      </c>
      <c r="H439" s="2005"/>
    </row>
    <row r="440" spans="1:9" ht="16.5">
      <c r="A440" s="18"/>
      <c r="B440" s="477" t="s">
        <v>3330</v>
      </c>
      <c r="C440" s="98"/>
      <c r="D440" s="1100">
        <f>D449+D450+D451+D452+D453+D454+D455+D456</f>
        <v>17988884.48</v>
      </c>
      <c r="E440" s="126"/>
      <c r="F440" s="98"/>
      <c r="G440" s="1100">
        <f>G449+G450+G451+G452+G453+G454+G455+G456</f>
        <v>3612275.82</v>
      </c>
      <c r="H440" s="2005"/>
    </row>
    <row r="441" spans="1:9" ht="16.5">
      <c r="A441" s="18"/>
      <c r="B441" s="477" t="s">
        <v>3331</v>
      </c>
      <c r="C441" s="98"/>
      <c r="D441" s="1100">
        <f>D457</f>
        <v>188500</v>
      </c>
      <c r="E441" s="126"/>
      <c r="F441" s="98"/>
      <c r="G441" s="1100">
        <f>G457</f>
        <v>0</v>
      </c>
      <c r="H441" s="2005"/>
    </row>
    <row r="442" spans="1:9" ht="16.5">
      <c r="A442" s="18"/>
      <c r="B442" s="477" t="s">
        <v>3332</v>
      </c>
      <c r="C442" s="98"/>
      <c r="D442" s="1100">
        <f>D458</f>
        <v>185365.02</v>
      </c>
      <c r="E442" s="126"/>
      <c r="F442" s="98"/>
      <c r="G442" s="1100">
        <f>G458</f>
        <v>119246.43</v>
      </c>
      <c r="H442" s="2005"/>
      <c r="I442" s="547"/>
    </row>
    <row r="443" spans="1:9" ht="16.5">
      <c r="A443" s="18" t="s">
        <v>83</v>
      </c>
      <c r="B443" s="34" t="s">
        <v>2595</v>
      </c>
      <c r="C443" s="98">
        <f t="shared" si="12"/>
        <v>555700</v>
      </c>
      <c r="D443" s="99">
        <v>555700</v>
      </c>
      <c r="E443" s="100"/>
      <c r="F443" s="98">
        <f t="shared" si="13"/>
        <v>83942.95</v>
      </c>
      <c r="G443" s="111">
        <v>83942.95</v>
      </c>
      <c r="H443" s="133"/>
    </row>
    <row r="444" spans="1:9" ht="16.5">
      <c r="A444" s="18" t="s">
        <v>89</v>
      </c>
      <c r="B444" s="34" t="s">
        <v>2596</v>
      </c>
      <c r="C444" s="98">
        <f t="shared" si="12"/>
        <v>14900</v>
      </c>
      <c r="D444" s="99">
        <v>14900</v>
      </c>
      <c r="E444" s="100"/>
      <c r="F444" s="98">
        <f t="shared" si="13"/>
        <v>0</v>
      </c>
      <c r="G444" s="111"/>
      <c r="H444" s="133"/>
    </row>
    <row r="445" spans="1:9" ht="16.5">
      <c r="A445" s="18" t="s">
        <v>91</v>
      </c>
      <c r="B445" s="34" t="s">
        <v>2597</v>
      </c>
      <c r="C445" s="98">
        <f t="shared" si="12"/>
        <v>130000</v>
      </c>
      <c r="D445" s="99">
        <v>130000</v>
      </c>
      <c r="E445" s="100"/>
      <c r="F445" s="98">
        <f t="shared" si="13"/>
        <v>4900</v>
      </c>
      <c r="G445" s="111">
        <v>4900</v>
      </c>
      <c r="H445" s="133"/>
    </row>
    <row r="446" spans="1:9" ht="16.5">
      <c r="A446" s="18" t="s">
        <v>97</v>
      </c>
      <c r="B446" s="34" t="s">
        <v>2598</v>
      </c>
      <c r="C446" s="98">
        <f t="shared" si="12"/>
        <v>55739.77</v>
      </c>
      <c r="D446" s="99">
        <v>55739.77</v>
      </c>
      <c r="E446" s="100"/>
      <c r="F446" s="98">
        <f t="shared" si="13"/>
        <v>0</v>
      </c>
      <c r="G446" s="111"/>
      <c r="H446" s="133"/>
    </row>
    <row r="447" spans="1:9" ht="16.5">
      <c r="A447" s="19" t="s">
        <v>100</v>
      </c>
      <c r="B447" s="34" t="s">
        <v>2599</v>
      </c>
      <c r="C447" s="98">
        <f t="shared" si="12"/>
        <v>78600</v>
      </c>
      <c r="D447" s="99">
        <v>78600</v>
      </c>
      <c r="E447" s="100"/>
      <c r="F447" s="98">
        <f t="shared" si="13"/>
        <v>0</v>
      </c>
      <c r="G447" s="111"/>
      <c r="H447" s="133"/>
    </row>
    <row r="448" spans="1:9" ht="16.5">
      <c r="A448" s="18" t="s">
        <v>89</v>
      </c>
      <c r="B448" s="34" t="s">
        <v>2600</v>
      </c>
      <c r="C448" s="98">
        <f t="shared" si="12"/>
        <v>0</v>
      </c>
      <c r="D448" s="648">
        <v>0</v>
      </c>
      <c r="E448" s="100"/>
      <c r="F448" s="98">
        <f t="shared" si="13"/>
        <v>0</v>
      </c>
      <c r="G448" s="111"/>
      <c r="H448" s="133"/>
    </row>
    <row r="449" spans="1:8" ht="16.5">
      <c r="A449" s="18" t="s">
        <v>95</v>
      </c>
      <c r="B449" s="34" t="s">
        <v>2601</v>
      </c>
      <c r="C449" s="98">
        <f t="shared" si="12"/>
        <v>1000</v>
      </c>
      <c r="D449" s="99">
        <v>1000</v>
      </c>
      <c r="E449" s="100"/>
      <c r="F449" s="98">
        <f t="shared" si="13"/>
        <v>0</v>
      </c>
      <c r="G449" s="111"/>
      <c r="H449" s="133"/>
    </row>
    <row r="450" spans="1:8" ht="16.5">
      <c r="A450" s="18" t="s">
        <v>85</v>
      </c>
      <c r="B450" s="34" t="s">
        <v>2602</v>
      </c>
      <c r="C450" s="98">
        <f t="shared" si="12"/>
        <v>214100</v>
      </c>
      <c r="D450" s="99">
        <v>214100</v>
      </c>
      <c r="E450" s="100"/>
      <c r="F450" s="98">
        <f t="shared" si="13"/>
        <v>139500</v>
      </c>
      <c r="G450" s="111">
        <v>139500</v>
      </c>
      <c r="H450" s="133"/>
    </row>
    <row r="451" spans="1:8" ht="16.5">
      <c r="A451" s="18" t="s">
        <v>87</v>
      </c>
      <c r="B451" s="34" t="s">
        <v>2603</v>
      </c>
      <c r="C451" s="98">
        <f t="shared" si="12"/>
        <v>3637019.35</v>
      </c>
      <c r="D451" s="99">
        <v>3637019.35</v>
      </c>
      <c r="E451" s="100"/>
      <c r="F451" s="98">
        <f t="shared" si="13"/>
        <v>2759528.86</v>
      </c>
      <c r="G451" s="111">
        <v>2759528.86</v>
      </c>
      <c r="H451" s="133"/>
    </row>
    <row r="452" spans="1:8" ht="16.5">
      <c r="A452" s="18" t="s">
        <v>89</v>
      </c>
      <c r="B452" s="34" t="s">
        <v>2604</v>
      </c>
      <c r="C452" s="98">
        <f t="shared" si="12"/>
        <v>445804.13</v>
      </c>
      <c r="D452" s="99">
        <v>445804.13</v>
      </c>
      <c r="E452" s="100"/>
      <c r="F452" s="98">
        <f t="shared" si="13"/>
        <v>35999.11</v>
      </c>
      <c r="G452" s="111">
        <v>35999.11</v>
      </c>
      <c r="H452" s="133"/>
    </row>
    <row r="453" spans="1:8" ht="16.5">
      <c r="A453" s="18" t="s">
        <v>91</v>
      </c>
      <c r="B453" s="34" t="s">
        <v>2605</v>
      </c>
      <c r="C453" s="98">
        <f t="shared" si="12"/>
        <v>802390.83</v>
      </c>
      <c r="D453" s="99">
        <v>802390.83</v>
      </c>
      <c r="E453" s="100"/>
      <c r="F453" s="98">
        <f t="shared" si="13"/>
        <v>66455.77</v>
      </c>
      <c r="G453" s="111">
        <v>66455.77</v>
      </c>
      <c r="H453" s="133"/>
    </row>
    <row r="454" spans="1:8" ht="16.5">
      <c r="A454" s="18" t="s">
        <v>95</v>
      </c>
      <c r="B454" s="34" t="s">
        <v>2606</v>
      </c>
      <c r="C454" s="98">
        <f t="shared" si="12"/>
        <v>47500</v>
      </c>
      <c r="D454" s="99">
        <v>47500</v>
      </c>
      <c r="E454" s="100"/>
      <c r="F454" s="98">
        <f t="shared" si="13"/>
        <v>5000</v>
      </c>
      <c r="G454" s="111">
        <v>5000</v>
      </c>
      <c r="H454" s="133"/>
    </row>
    <row r="455" spans="1:8" ht="16.5">
      <c r="A455" s="18" t="s">
        <v>97</v>
      </c>
      <c r="B455" s="34" t="s">
        <v>2607</v>
      </c>
      <c r="C455" s="98">
        <f t="shared" si="12"/>
        <v>749427.02</v>
      </c>
      <c r="D455" s="99">
        <v>749427.02</v>
      </c>
      <c r="E455" s="100"/>
      <c r="F455" s="98">
        <f t="shared" si="13"/>
        <v>62586.66</v>
      </c>
      <c r="G455" s="111">
        <v>62586.66</v>
      </c>
      <c r="H455" s="133"/>
    </row>
    <row r="456" spans="1:8" ht="16.5">
      <c r="A456" s="19" t="s">
        <v>100</v>
      </c>
      <c r="B456" s="34" t="s">
        <v>2682</v>
      </c>
      <c r="C456" s="98">
        <f t="shared" si="12"/>
        <v>12091643.15</v>
      </c>
      <c r="D456" s="99">
        <v>12091643.15</v>
      </c>
      <c r="E456" s="100"/>
      <c r="F456" s="98">
        <f t="shared" si="13"/>
        <v>543205.42000000004</v>
      </c>
      <c r="G456" s="111">
        <v>543205.42000000004</v>
      </c>
      <c r="H456" s="133"/>
    </row>
    <row r="457" spans="1:8" ht="16.5">
      <c r="A457" s="18" t="s">
        <v>95</v>
      </c>
      <c r="B457" s="34" t="s">
        <v>2608</v>
      </c>
      <c r="C457" s="98">
        <f t="shared" si="12"/>
        <v>188500</v>
      </c>
      <c r="D457" s="99">
        <v>188500</v>
      </c>
      <c r="E457" s="100"/>
      <c r="F457" s="98">
        <f t="shared" si="13"/>
        <v>0</v>
      </c>
      <c r="G457" s="111"/>
      <c r="H457" s="133"/>
    </row>
    <row r="458" spans="1:8" ht="17.25" thickBot="1">
      <c r="A458" s="18" t="s">
        <v>95</v>
      </c>
      <c r="B458" s="34" t="s">
        <v>2609</v>
      </c>
      <c r="C458" s="113">
        <f t="shared" si="12"/>
        <v>185365.02</v>
      </c>
      <c r="D458" s="102">
        <v>185365.02</v>
      </c>
      <c r="E458" s="103"/>
      <c r="F458" s="113">
        <f t="shared" si="13"/>
        <v>119246.43</v>
      </c>
      <c r="G458" s="734">
        <v>119246.43</v>
      </c>
      <c r="H458" s="134"/>
    </row>
    <row r="459" spans="1:8" ht="32.25" thickBot="1">
      <c r="A459" s="381" t="s">
        <v>166</v>
      </c>
      <c r="B459" s="33" t="s">
        <v>167</v>
      </c>
      <c r="C459" s="104">
        <f t="shared" si="12"/>
        <v>475400</v>
      </c>
      <c r="D459" s="105">
        <f>D461+D462+D463+D464+D465+D466+D467</f>
        <v>475400</v>
      </c>
      <c r="E459" s="106"/>
      <c r="F459" s="104">
        <f t="shared" si="13"/>
        <v>30000</v>
      </c>
      <c r="G459" s="532">
        <f>G461+G462+G463+G464+G465+G466+G467</f>
        <v>30000</v>
      </c>
      <c r="H459" s="2009"/>
    </row>
    <row r="460" spans="1:8" ht="16.5">
      <c r="A460" s="2008"/>
      <c r="B460" s="2010" t="s">
        <v>3334</v>
      </c>
      <c r="C460" s="151"/>
      <c r="D460" s="154">
        <f>D461+D462+D463+D464+D465+D466+D467</f>
        <v>475400</v>
      </c>
      <c r="E460" s="155"/>
      <c r="F460" s="151"/>
      <c r="G460" s="154">
        <f>G461+G462+G463+G464+G465+G466+G467</f>
        <v>30000</v>
      </c>
      <c r="H460" s="155"/>
    </row>
    <row r="461" spans="1:8" ht="16.5">
      <c r="A461" s="18" t="s">
        <v>83</v>
      </c>
      <c r="B461" s="34" t="s">
        <v>2615</v>
      </c>
      <c r="C461" s="151">
        <f>D461</f>
        <v>0</v>
      </c>
      <c r="D461" s="96"/>
      <c r="E461" s="155"/>
      <c r="F461" s="599">
        <f>G461</f>
        <v>0</v>
      </c>
      <c r="G461" s="109"/>
      <c r="H461" s="380"/>
    </row>
    <row r="462" spans="1:8" ht="16.5">
      <c r="A462" s="17" t="s">
        <v>85</v>
      </c>
      <c r="B462" s="34" t="s">
        <v>2610</v>
      </c>
      <c r="C462" s="151">
        <f>D462</f>
        <v>50000</v>
      </c>
      <c r="D462" s="96">
        <v>50000</v>
      </c>
      <c r="E462" s="155"/>
      <c r="F462" s="599">
        <f>G462</f>
        <v>0</v>
      </c>
      <c r="G462" s="109"/>
      <c r="H462" s="380"/>
    </row>
    <row r="463" spans="1:8" ht="16.5">
      <c r="A463" s="18" t="s">
        <v>89</v>
      </c>
      <c r="B463" s="34" t="s">
        <v>2835</v>
      </c>
      <c r="C463" s="151">
        <f>D463</f>
        <v>0</v>
      </c>
      <c r="D463" s="96"/>
      <c r="E463" s="155"/>
      <c r="F463" s="599">
        <f>G463</f>
        <v>0</v>
      </c>
      <c r="G463" s="109"/>
      <c r="H463" s="380"/>
    </row>
    <row r="464" spans="1:8" ht="16.5">
      <c r="A464" s="18" t="s">
        <v>91</v>
      </c>
      <c r="B464" s="34" t="s">
        <v>2611</v>
      </c>
      <c r="C464" s="151">
        <f>D464</f>
        <v>0</v>
      </c>
      <c r="D464" s="544"/>
      <c r="E464" s="155"/>
      <c r="F464" s="151">
        <f>G464</f>
        <v>0</v>
      </c>
      <c r="G464" s="109"/>
      <c r="H464" s="380"/>
    </row>
    <row r="465" spans="1:9" ht="16.5">
      <c r="A465" s="18" t="s">
        <v>95</v>
      </c>
      <c r="B465" s="34" t="s">
        <v>2612</v>
      </c>
      <c r="C465" s="98">
        <f>D465</f>
        <v>38000</v>
      </c>
      <c r="D465" s="648">
        <v>38000</v>
      </c>
      <c r="E465" s="126"/>
      <c r="F465" s="98">
        <f>G465</f>
        <v>30000</v>
      </c>
      <c r="G465" s="111">
        <v>30000</v>
      </c>
      <c r="H465" s="126"/>
    </row>
    <row r="466" spans="1:9" ht="16.5">
      <c r="A466" s="18" t="s">
        <v>97</v>
      </c>
      <c r="B466" s="34" t="s">
        <v>2613</v>
      </c>
      <c r="C466" s="98">
        <f t="shared" si="12"/>
        <v>10500</v>
      </c>
      <c r="D466" s="99">
        <v>10500</v>
      </c>
      <c r="E466" s="100"/>
      <c r="F466" s="98">
        <f t="shared" si="13"/>
        <v>0</v>
      </c>
      <c r="G466" s="111"/>
      <c r="H466" s="100"/>
    </row>
    <row r="467" spans="1:9" ht="17.25" thickBot="1">
      <c r="A467" s="19" t="s">
        <v>100</v>
      </c>
      <c r="B467" s="36" t="s">
        <v>2614</v>
      </c>
      <c r="C467" s="369">
        <f>D467</f>
        <v>376900</v>
      </c>
      <c r="D467" s="102">
        <v>376900</v>
      </c>
      <c r="E467" s="103"/>
      <c r="F467" s="149">
        <f>G467</f>
        <v>0</v>
      </c>
      <c r="G467" s="115"/>
      <c r="H467" s="162"/>
    </row>
    <row r="468" spans="1:9" ht="32.25" thickBot="1">
      <c r="A468" s="381" t="s">
        <v>168</v>
      </c>
      <c r="B468" s="33" t="s">
        <v>169</v>
      </c>
      <c r="C468" s="104">
        <f t="shared" si="12"/>
        <v>14446940</v>
      </c>
      <c r="D468" s="105">
        <f>D469+D470+D471++D472+D473+D479+D480+D481+D482+D483+D484+D485+D486+D487+D488+D489+D490+D491+D492</f>
        <v>14446940</v>
      </c>
      <c r="E468" s="106"/>
      <c r="F468" s="104">
        <f t="shared" si="13"/>
        <v>3473933.1699999995</v>
      </c>
      <c r="G468" s="105">
        <f>G469+G470+G471++G472+G473+G479+G480+G481+G482+G483+G484+G485+G486+G487+G488+G489+G490+G491+G492</f>
        <v>3473933.1699999995</v>
      </c>
      <c r="H468" s="128"/>
    </row>
    <row r="469" spans="1:9" ht="16.5">
      <c r="A469" s="17" t="s">
        <v>77</v>
      </c>
      <c r="B469" s="477" t="s">
        <v>3432</v>
      </c>
      <c r="C469" s="95">
        <f t="shared" si="12"/>
        <v>9800000</v>
      </c>
      <c r="D469" s="154">
        <v>9800000</v>
      </c>
      <c r="E469" s="155"/>
      <c r="F469" s="95">
        <f t="shared" si="13"/>
        <v>2429645.65</v>
      </c>
      <c r="G469" s="2003">
        <v>2429645.65</v>
      </c>
      <c r="H469" s="2004"/>
      <c r="I469" s="547"/>
    </row>
    <row r="470" spans="1:9" ht="16.5">
      <c r="A470" s="18" t="s">
        <v>81</v>
      </c>
      <c r="B470" s="477" t="s">
        <v>3433</v>
      </c>
      <c r="C470" s="98">
        <f t="shared" si="12"/>
        <v>2959600</v>
      </c>
      <c r="D470" s="153">
        <v>2959600</v>
      </c>
      <c r="E470" s="126"/>
      <c r="F470" s="98">
        <f t="shared" si="13"/>
        <v>791861.83</v>
      </c>
      <c r="G470" s="499">
        <v>791861.83</v>
      </c>
      <c r="H470" s="2005"/>
    </row>
    <row r="471" spans="1:9" ht="16.5">
      <c r="A471" s="18" t="s">
        <v>79</v>
      </c>
      <c r="B471" s="477" t="s">
        <v>2616</v>
      </c>
      <c r="C471" s="98">
        <f t="shared" si="12"/>
        <v>100000</v>
      </c>
      <c r="D471" s="153">
        <v>100000</v>
      </c>
      <c r="E471" s="126"/>
      <c r="F471" s="98">
        <f t="shared" si="13"/>
        <v>16780</v>
      </c>
      <c r="G471" s="499">
        <v>16780</v>
      </c>
      <c r="H471" s="2005"/>
    </row>
    <row r="472" spans="1:9" ht="16.5">
      <c r="A472" s="17" t="s">
        <v>77</v>
      </c>
      <c r="B472" s="477" t="s">
        <v>2617</v>
      </c>
      <c r="C472" s="98">
        <f t="shared" si="12"/>
        <v>0</v>
      </c>
      <c r="D472" s="153"/>
      <c r="E472" s="126"/>
      <c r="F472" s="98">
        <f t="shared" si="13"/>
        <v>0</v>
      </c>
      <c r="G472" s="499"/>
      <c r="H472" s="2005"/>
    </row>
    <row r="473" spans="1:9" ht="16.5">
      <c r="A473" s="18" t="s">
        <v>81</v>
      </c>
      <c r="B473" s="477" t="s">
        <v>2618</v>
      </c>
      <c r="C473" s="98">
        <f t="shared" si="12"/>
        <v>0</v>
      </c>
      <c r="D473" s="153"/>
      <c r="E473" s="126"/>
      <c r="F473" s="98">
        <f t="shared" si="13"/>
        <v>0</v>
      </c>
      <c r="G473" s="499"/>
      <c r="H473" s="2005"/>
    </row>
    <row r="474" spans="1:9" ht="16.5">
      <c r="A474" s="18" t="s">
        <v>79</v>
      </c>
      <c r="B474" s="477" t="s">
        <v>2619</v>
      </c>
      <c r="C474" s="98">
        <f t="shared" si="12"/>
        <v>0</v>
      </c>
      <c r="D474" s="1100"/>
      <c r="E474" s="126"/>
      <c r="F474" s="98">
        <f t="shared" si="13"/>
        <v>0</v>
      </c>
      <c r="G474" s="499"/>
      <c r="H474" s="2005"/>
    </row>
    <row r="475" spans="1:9" ht="16.5">
      <c r="A475" s="18"/>
      <c r="B475" s="477" t="s">
        <v>3335</v>
      </c>
      <c r="C475" s="98"/>
      <c r="D475" s="1100">
        <f>D479+D480+D481+D482+D483</f>
        <v>252800</v>
      </c>
      <c r="E475" s="126"/>
      <c r="F475" s="98"/>
      <c r="G475" s="1100">
        <f>G479+G480+G481+G482+G483</f>
        <v>66844.28</v>
      </c>
      <c r="H475" s="2005"/>
    </row>
    <row r="476" spans="1:9" ht="16.5">
      <c r="A476" s="18"/>
      <c r="B476" s="477" t="s">
        <v>3336</v>
      </c>
      <c r="C476" s="98"/>
      <c r="D476" s="1100">
        <f>D484+D485+D486+D487+D488+D489+D490</f>
        <v>1251540</v>
      </c>
      <c r="E476" s="126"/>
      <c r="F476" s="98"/>
      <c r="G476" s="1100">
        <f>G484+G485+G486+G487+G488+G489+G490</f>
        <v>168801.41</v>
      </c>
      <c r="H476" s="2005"/>
    </row>
    <row r="477" spans="1:9" ht="16.5">
      <c r="A477" s="18"/>
      <c r="B477" s="477" t="s">
        <v>3337</v>
      </c>
      <c r="C477" s="98"/>
      <c r="D477" s="1100">
        <f>D491</f>
        <v>75000</v>
      </c>
      <c r="E477" s="126"/>
      <c r="F477" s="98"/>
      <c r="G477" s="1100">
        <f>G491</f>
        <v>0</v>
      </c>
      <c r="H477" s="2005"/>
    </row>
    <row r="478" spans="1:9" ht="16.5">
      <c r="A478" s="18"/>
      <c r="B478" s="477" t="s">
        <v>3338</v>
      </c>
      <c r="C478" s="98"/>
      <c r="D478" s="1100">
        <f>D492</f>
        <v>8000</v>
      </c>
      <c r="E478" s="126"/>
      <c r="F478" s="98"/>
      <c r="G478" s="1100">
        <f>G492</f>
        <v>0</v>
      </c>
      <c r="H478" s="2005"/>
    </row>
    <row r="479" spans="1:9" ht="16.5">
      <c r="A479" s="18" t="s">
        <v>83</v>
      </c>
      <c r="B479" s="34" t="s">
        <v>2620</v>
      </c>
      <c r="C479" s="98">
        <f t="shared" si="12"/>
        <v>165000</v>
      </c>
      <c r="D479" s="99">
        <v>165000</v>
      </c>
      <c r="E479" s="100"/>
      <c r="F479" s="98">
        <f t="shared" si="13"/>
        <v>66844.28</v>
      </c>
      <c r="G479" s="111">
        <v>66844.28</v>
      </c>
      <c r="H479" s="133"/>
    </row>
    <row r="480" spans="1:9" ht="16.5">
      <c r="A480" s="18" t="s">
        <v>89</v>
      </c>
      <c r="B480" s="34" t="s">
        <v>2621</v>
      </c>
      <c r="C480" s="98">
        <f t="shared" si="12"/>
        <v>5000</v>
      </c>
      <c r="D480" s="99">
        <v>5000</v>
      </c>
      <c r="E480" s="100"/>
      <c r="F480" s="98">
        <f t="shared" si="13"/>
        <v>0</v>
      </c>
      <c r="G480" s="111"/>
      <c r="H480" s="133"/>
    </row>
    <row r="481" spans="1:8" ht="16.5">
      <c r="A481" s="18" t="s">
        <v>91</v>
      </c>
      <c r="B481" s="34" t="s">
        <v>2622</v>
      </c>
      <c r="C481" s="98">
        <f t="shared" si="12"/>
        <v>45000</v>
      </c>
      <c r="D481" s="99">
        <v>45000</v>
      </c>
      <c r="E481" s="100"/>
      <c r="F481" s="98">
        <f t="shared" si="13"/>
        <v>0</v>
      </c>
      <c r="G481" s="111"/>
      <c r="H481" s="133"/>
    </row>
    <row r="482" spans="1:8" ht="16.5">
      <c r="A482" s="18" t="s">
        <v>97</v>
      </c>
      <c r="B482" s="34" t="s">
        <v>2623</v>
      </c>
      <c r="C482" s="98">
        <f t="shared" si="12"/>
        <v>27000</v>
      </c>
      <c r="D482" s="99">
        <v>27000</v>
      </c>
      <c r="E482" s="100"/>
      <c r="F482" s="98">
        <f t="shared" si="13"/>
        <v>0</v>
      </c>
      <c r="G482" s="111"/>
      <c r="H482" s="133"/>
    </row>
    <row r="483" spans="1:8" ht="16.5">
      <c r="A483" s="19" t="s">
        <v>100</v>
      </c>
      <c r="B483" s="34" t="s">
        <v>2624</v>
      </c>
      <c r="C483" s="98">
        <f t="shared" si="12"/>
        <v>10800</v>
      </c>
      <c r="D483" s="99">
        <v>10800</v>
      </c>
      <c r="E483" s="100"/>
      <c r="F483" s="98">
        <f t="shared" si="13"/>
        <v>0</v>
      </c>
      <c r="G483" s="111"/>
      <c r="H483" s="133"/>
    </row>
    <row r="484" spans="1:8" ht="16.5">
      <c r="A484" s="18" t="s">
        <v>85</v>
      </c>
      <c r="B484" s="34" t="s">
        <v>2625</v>
      </c>
      <c r="C484" s="98">
        <f t="shared" si="12"/>
        <v>79540</v>
      </c>
      <c r="D484" s="99">
        <v>79540</v>
      </c>
      <c r="E484" s="100"/>
      <c r="F484" s="98">
        <f t="shared" si="13"/>
        <v>32500</v>
      </c>
      <c r="G484" s="111">
        <v>32500</v>
      </c>
      <c r="H484" s="133"/>
    </row>
    <row r="485" spans="1:8" ht="16.5">
      <c r="A485" s="18" t="s">
        <v>87</v>
      </c>
      <c r="B485" s="34" t="s">
        <v>2626</v>
      </c>
      <c r="C485" s="98">
        <f t="shared" si="12"/>
        <v>250000</v>
      </c>
      <c r="D485" s="99">
        <v>250000</v>
      </c>
      <c r="E485" s="100"/>
      <c r="F485" s="98">
        <f t="shared" si="13"/>
        <v>81103.86</v>
      </c>
      <c r="G485" s="111">
        <v>81103.86</v>
      </c>
      <c r="H485" s="133"/>
    </row>
    <row r="486" spans="1:8" ht="16.5">
      <c r="A486" s="18" t="s">
        <v>89</v>
      </c>
      <c r="B486" s="34" t="s">
        <v>2627</v>
      </c>
      <c r="C486" s="98">
        <f t="shared" si="12"/>
        <v>35000</v>
      </c>
      <c r="D486" s="99">
        <v>35000</v>
      </c>
      <c r="E486" s="100"/>
      <c r="F486" s="98">
        <f t="shared" si="13"/>
        <v>0</v>
      </c>
      <c r="G486" s="111"/>
      <c r="H486" s="133"/>
    </row>
    <row r="487" spans="1:8" ht="16.5">
      <c r="A487" s="18" t="s">
        <v>91</v>
      </c>
      <c r="B487" s="34" t="s">
        <v>2628</v>
      </c>
      <c r="C487" s="98">
        <f t="shared" si="12"/>
        <v>55000</v>
      </c>
      <c r="D487" s="99">
        <v>55000</v>
      </c>
      <c r="E487" s="100"/>
      <c r="F487" s="98">
        <f t="shared" si="13"/>
        <v>22029.55</v>
      </c>
      <c r="G487" s="111">
        <v>22029.55</v>
      </c>
      <c r="H487" s="133"/>
    </row>
    <row r="488" spans="1:8" ht="16.5">
      <c r="A488" s="18" t="s">
        <v>95</v>
      </c>
      <c r="B488" s="34" t="s">
        <v>2629</v>
      </c>
      <c r="C488" s="98">
        <f t="shared" si="12"/>
        <v>50100</v>
      </c>
      <c r="D488" s="99">
        <v>50100</v>
      </c>
      <c r="E488" s="100"/>
      <c r="F488" s="98">
        <f t="shared" si="13"/>
        <v>12000</v>
      </c>
      <c r="G488" s="111">
        <v>12000</v>
      </c>
      <c r="H488" s="133"/>
    </row>
    <row r="489" spans="1:8" ht="16.5">
      <c r="A489" s="18" t="s">
        <v>97</v>
      </c>
      <c r="B489" s="34" t="s">
        <v>2630</v>
      </c>
      <c r="C489" s="98">
        <f t="shared" si="12"/>
        <v>0</v>
      </c>
      <c r="D489" s="99">
        <v>0</v>
      </c>
      <c r="E489" s="100"/>
      <c r="F489" s="98">
        <f t="shared" si="13"/>
        <v>0</v>
      </c>
      <c r="G489" s="111"/>
      <c r="H489" s="133"/>
    </row>
    <row r="490" spans="1:8" ht="16.5">
      <c r="A490" s="19" t="s">
        <v>100</v>
      </c>
      <c r="B490" s="34" t="s">
        <v>2631</v>
      </c>
      <c r="C490" s="98">
        <f t="shared" si="12"/>
        <v>781900</v>
      </c>
      <c r="D490" s="99">
        <v>781900</v>
      </c>
      <c r="E490" s="100"/>
      <c r="F490" s="98">
        <f t="shared" si="13"/>
        <v>21168</v>
      </c>
      <c r="G490" s="111">
        <v>21168</v>
      </c>
      <c r="H490" s="133"/>
    </row>
    <row r="491" spans="1:8" ht="16.5">
      <c r="A491" s="18" t="s">
        <v>95</v>
      </c>
      <c r="B491" s="34" t="s">
        <v>2632</v>
      </c>
      <c r="C491" s="98">
        <f t="shared" si="12"/>
        <v>75000</v>
      </c>
      <c r="D491" s="99">
        <v>75000</v>
      </c>
      <c r="E491" s="100"/>
      <c r="F491" s="98">
        <f t="shared" si="13"/>
        <v>0</v>
      </c>
      <c r="G491" s="111"/>
      <c r="H491" s="133"/>
    </row>
    <row r="492" spans="1:8" ht="17.25" thickBot="1">
      <c r="A492" s="18" t="s">
        <v>95</v>
      </c>
      <c r="B492" s="34" t="s">
        <v>2633</v>
      </c>
      <c r="C492" s="98">
        <f t="shared" si="12"/>
        <v>8000</v>
      </c>
      <c r="D492" s="99">
        <v>8000</v>
      </c>
      <c r="E492" s="100"/>
      <c r="F492" s="98">
        <f t="shared" si="13"/>
        <v>0</v>
      </c>
      <c r="G492" s="111"/>
      <c r="H492" s="100"/>
    </row>
    <row r="493" spans="1:8" ht="32.25" thickBot="1">
      <c r="A493" s="46" t="s">
        <v>170</v>
      </c>
      <c r="B493" s="185" t="s">
        <v>171</v>
      </c>
      <c r="C493" s="186">
        <f t="shared" si="12"/>
        <v>19143925.399999999</v>
      </c>
      <c r="D493" s="163">
        <f>SUM(D494:D507)</f>
        <v>18459925.399999999</v>
      </c>
      <c r="E493" s="163">
        <f>SUM(E494:E507)</f>
        <v>684000</v>
      </c>
      <c r="F493" s="186">
        <f t="shared" si="13"/>
        <v>8770652.4700000007</v>
      </c>
      <c r="G493" s="163">
        <f>SUM(G494:G507)</f>
        <v>8704802.4700000007</v>
      </c>
      <c r="H493" s="94">
        <f>SUM(H494:H507)</f>
        <v>65850</v>
      </c>
    </row>
    <row r="494" spans="1:8" ht="16.5">
      <c r="A494" s="17" t="s">
        <v>77</v>
      </c>
      <c r="B494" s="34" t="s">
        <v>172</v>
      </c>
      <c r="C494" s="113">
        <f t="shared" si="12"/>
        <v>9190400</v>
      </c>
      <c r="D494" s="96">
        <f>D509+D531</f>
        <v>9190400</v>
      </c>
      <c r="E494" s="1771">
        <f>E509+E531</f>
        <v>0</v>
      </c>
      <c r="F494" s="113">
        <f t="shared" si="13"/>
        <v>5352457.74</v>
      </c>
      <c r="G494" s="96">
        <f>G509+G531</f>
        <v>5352457.74</v>
      </c>
      <c r="H494" s="1771">
        <f>H509+H531</f>
        <v>0</v>
      </c>
    </row>
    <row r="495" spans="1:8" ht="16.5">
      <c r="A495" s="18" t="s">
        <v>79</v>
      </c>
      <c r="B495" s="31" t="s">
        <v>173</v>
      </c>
      <c r="C495" s="98">
        <f t="shared" si="12"/>
        <v>277479</v>
      </c>
      <c r="D495" s="96">
        <f>D511+D533</f>
        <v>277479</v>
      </c>
      <c r="E495" s="1771">
        <f>E511+E533</f>
        <v>0</v>
      </c>
      <c r="F495" s="98">
        <f t="shared" si="13"/>
        <v>166250</v>
      </c>
      <c r="G495" s="96">
        <f>G511+G533</f>
        <v>166250</v>
      </c>
      <c r="H495" s="1771">
        <f>H511+H533</f>
        <v>0</v>
      </c>
    </row>
    <row r="496" spans="1:8" ht="16.5">
      <c r="A496" s="18" t="s">
        <v>81</v>
      </c>
      <c r="B496" s="31" t="s">
        <v>174</v>
      </c>
      <c r="C496" s="98">
        <f t="shared" si="12"/>
        <v>2758100</v>
      </c>
      <c r="D496" s="96">
        <f>D510+D532</f>
        <v>2758100</v>
      </c>
      <c r="E496" s="1771">
        <f>E510+E532</f>
        <v>0</v>
      </c>
      <c r="F496" s="98">
        <f t="shared" si="13"/>
        <v>1929251.55</v>
      </c>
      <c r="G496" s="96">
        <f>G510+G532</f>
        <v>1929251.55</v>
      </c>
      <c r="H496" s="1771">
        <f>H510+H532</f>
        <v>0</v>
      </c>
    </row>
    <row r="497" spans="1:9" ht="16.5">
      <c r="A497" s="18" t="s">
        <v>83</v>
      </c>
      <c r="B497" s="31" t="s">
        <v>175</v>
      </c>
      <c r="C497" s="98">
        <f t="shared" si="12"/>
        <v>89953</v>
      </c>
      <c r="D497" s="96">
        <f>D515+D520+D537+D542</f>
        <v>89953</v>
      </c>
      <c r="E497" s="1771">
        <f>E515+E520+E537+E542</f>
        <v>0</v>
      </c>
      <c r="F497" s="98">
        <f t="shared" si="13"/>
        <v>49341.55</v>
      </c>
      <c r="G497" s="96">
        <f>G515+G520+G537+G542</f>
        <v>49341.55</v>
      </c>
      <c r="H497" s="1771">
        <f>H515+H520+H537+H542</f>
        <v>0</v>
      </c>
    </row>
    <row r="498" spans="1:9" ht="16.5">
      <c r="A498" s="18" t="s">
        <v>85</v>
      </c>
      <c r="B498" s="31" t="s">
        <v>176</v>
      </c>
      <c r="C498" s="98">
        <f t="shared" si="12"/>
        <v>66226</v>
      </c>
      <c r="D498" s="96">
        <f>D521+D543</f>
        <v>66226</v>
      </c>
      <c r="E498" s="1771">
        <f>E521+E543</f>
        <v>0</v>
      </c>
      <c r="F498" s="98">
        <f t="shared" si="13"/>
        <v>45872.4</v>
      </c>
      <c r="G498" s="96">
        <f>G521+G543</f>
        <v>45872.4</v>
      </c>
      <c r="H498" s="1771">
        <f>H521+H543</f>
        <v>0</v>
      </c>
    </row>
    <row r="499" spans="1:9" ht="16.5">
      <c r="A499" s="18" t="s">
        <v>87</v>
      </c>
      <c r="B499" s="31" t="s">
        <v>177</v>
      </c>
      <c r="C499" s="98">
        <f t="shared" si="12"/>
        <v>270752.94</v>
      </c>
      <c r="D499" s="96">
        <f>D522+D544</f>
        <v>270752.94</v>
      </c>
      <c r="E499" s="1771">
        <f>E522+E544</f>
        <v>0</v>
      </c>
      <c r="F499" s="98">
        <f t="shared" si="13"/>
        <v>238183.59999999998</v>
      </c>
      <c r="G499" s="96">
        <f>G522+G544</f>
        <v>238183.59999999998</v>
      </c>
      <c r="H499" s="1771">
        <f>H522+H544</f>
        <v>0</v>
      </c>
    </row>
    <row r="500" spans="1:9" ht="16.5">
      <c r="A500" s="18" t="s">
        <v>25</v>
      </c>
      <c r="B500" s="31" t="s">
        <v>71</v>
      </c>
      <c r="C500" s="98">
        <f t="shared" si="12"/>
        <v>0</v>
      </c>
      <c r="D500" s="96">
        <f>D523</f>
        <v>0</v>
      </c>
      <c r="E500" s="1771">
        <f>E523</f>
        <v>0</v>
      </c>
      <c r="F500" s="98">
        <f t="shared" si="13"/>
        <v>0</v>
      </c>
      <c r="G500" s="96">
        <f>G523</f>
        <v>0</v>
      </c>
      <c r="H500" s="1771">
        <f>H523</f>
        <v>0</v>
      </c>
    </row>
    <row r="501" spans="1:9" ht="16.5">
      <c r="A501" s="18" t="s">
        <v>89</v>
      </c>
      <c r="B501" s="31" t="s">
        <v>41</v>
      </c>
      <c r="C501" s="98">
        <f t="shared" si="12"/>
        <v>311500</v>
      </c>
      <c r="D501" s="96">
        <f>D524+D516+D538+D545</f>
        <v>311500</v>
      </c>
      <c r="E501" s="1771">
        <f>E524+E516+E538</f>
        <v>0</v>
      </c>
      <c r="F501" s="98">
        <f t="shared" si="13"/>
        <v>63086</v>
      </c>
      <c r="G501" s="96">
        <f>G524+G516+G538+G545</f>
        <v>63086</v>
      </c>
      <c r="H501" s="1771">
        <f>H524+H516+H538</f>
        <v>0</v>
      </c>
    </row>
    <row r="502" spans="1:9" ht="16.5">
      <c r="A502" s="18" t="s">
        <v>91</v>
      </c>
      <c r="B502" s="31" t="s">
        <v>178</v>
      </c>
      <c r="C502" s="98">
        <f t="shared" si="12"/>
        <v>394015.06</v>
      </c>
      <c r="D502" s="96">
        <f>D517+D525+D539+D546</f>
        <v>279015.06</v>
      </c>
      <c r="E502" s="1771">
        <f>E517+E525+E539+E546</f>
        <v>115000</v>
      </c>
      <c r="F502" s="98">
        <f t="shared" si="13"/>
        <v>60297.04</v>
      </c>
      <c r="G502" s="96">
        <f>G517+G525+G539+G546</f>
        <v>48297.04</v>
      </c>
      <c r="H502" s="1771">
        <f>H517+H525+H539+H546</f>
        <v>12000</v>
      </c>
    </row>
    <row r="503" spans="1:9" ht="26.25">
      <c r="A503" s="278" t="s">
        <v>144</v>
      </c>
      <c r="B503" s="31" t="s">
        <v>1019</v>
      </c>
      <c r="C503" s="98">
        <f t="shared" si="12"/>
        <v>0</v>
      </c>
      <c r="D503" s="96"/>
      <c r="E503" s="1771"/>
      <c r="F503" s="98">
        <f t="shared" si="13"/>
        <v>0</v>
      </c>
      <c r="G503" s="96"/>
      <c r="H503" s="1771"/>
    </row>
    <row r="504" spans="1:9" ht="16.5">
      <c r="A504" s="18" t="s">
        <v>201</v>
      </c>
      <c r="B504" s="31" t="s">
        <v>2154</v>
      </c>
      <c r="C504" s="98">
        <f>D504+E504</f>
        <v>0</v>
      </c>
      <c r="D504" s="99"/>
      <c r="E504" s="1772"/>
      <c r="F504" s="98">
        <f>G504+H504</f>
        <v>0</v>
      </c>
      <c r="G504" s="99"/>
      <c r="H504" s="1772"/>
    </row>
    <row r="505" spans="1:9" ht="16.5">
      <c r="A505" s="18" t="s">
        <v>95</v>
      </c>
      <c r="B505" s="31" t="s">
        <v>179</v>
      </c>
      <c r="C505" s="98">
        <f t="shared" si="12"/>
        <v>638800</v>
      </c>
      <c r="D505" s="96">
        <f>D526+D529+D549</f>
        <v>193300</v>
      </c>
      <c r="E505" s="1771">
        <f>E526+E529+E549</f>
        <v>445500</v>
      </c>
      <c r="F505" s="98">
        <f t="shared" si="13"/>
        <v>86671.44</v>
      </c>
      <c r="G505" s="96">
        <f>G526+G529+G549</f>
        <v>34821.440000000002</v>
      </c>
      <c r="H505" s="1771">
        <f>H526+H529+H549</f>
        <v>51850</v>
      </c>
    </row>
    <row r="506" spans="1:9" ht="16.5">
      <c r="A506" s="18" t="s">
        <v>97</v>
      </c>
      <c r="B506" s="31" t="s">
        <v>180</v>
      </c>
      <c r="C506" s="98">
        <f t="shared" si="12"/>
        <v>1710899.4</v>
      </c>
      <c r="D506" s="99">
        <f>D518+D527+D540+D547</f>
        <v>1708899.4</v>
      </c>
      <c r="E506" s="1772">
        <f>E518+E527+E540+E547</f>
        <v>2000</v>
      </c>
      <c r="F506" s="98">
        <f t="shared" si="13"/>
        <v>615899.4</v>
      </c>
      <c r="G506" s="99">
        <f>G518+G527+G540+G547</f>
        <v>615899.4</v>
      </c>
      <c r="H506" s="1772">
        <f>H518+H527+H540+H547</f>
        <v>0</v>
      </c>
    </row>
    <row r="507" spans="1:9" ht="17.25" thickBot="1">
      <c r="A507" s="19" t="s">
        <v>100</v>
      </c>
      <c r="B507" s="32" t="s">
        <v>181</v>
      </c>
      <c r="C507" s="101">
        <f t="shared" si="12"/>
        <v>3435800</v>
      </c>
      <c r="D507" s="102">
        <f>D519+D528+D541+D548</f>
        <v>3314300</v>
      </c>
      <c r="E507" s="1773">
        <f>E519+E528+E541+E548</f>
        <v>121500</v>
      </c>
      <c r="F507" s="101">
        <f t="shared" si="13"/>
        <v>163341.75</v>
      </c>
      <c r="G507" s="102">
        <f>G519+G528+G541+G548</f>
        <v>161341.75</v>
      </c>
      <c r="H507" s="1773">
        <f>H519+H528+H541+H548</f>
        <v>2000</v>
      </c>
    </row>
    <row r="508" spans="1:9" ht="17.25" thickBot="1">
      <c r="A508" s="279" t="s">
        <v>182</v>
      </c>
      <c r="B508" s="39" t="s">
        <v>183</v>
      </c>
      <c r="C508" s="104">
        <f t="shared" si="12"/>
        <v>17618625.399999999</v>
      </c>
      <c r="D508" s="105">
        <f>D509+D510+D511+D515+D516+D517+D518+D519+D520+D521+D522+D523+D524+D525+D526+D527+D528+D529</f>
        <v>16934625.399999999</v>
      </c>
      <c r="E508" s="105">
        <f>E509+E510+E511+E515+E516+E517+E518+E519+E520+E521+E522+E523+E524+E525+E526+E527+E528+E529</f>
        <v>684000</v>
      </c>
      <c r="F508" s="104">
        <f t="shared" si="13"/>
        <v>7576135.620000001</v>
      </c>
      <c r="G508" s="105">
        <f>G509+G510+G511+G515+G516+G517+G518+G519+G520+G521+G522+G523+G524+G525+G526+G527+G528+G529</f>
        <v>7510285.620000001</v>
      </c>
      <c r="H508" s="105">
        <f>H509+H510+H511+H515+H516+H517+H518+H519+H520+H521+H522+H523+H524+H525+H526+H527+H528+H529</f>
        <v>65850</v>
      </c>
    </row>
    <row r="509" spans="1:9" ht="16.5">
      <c r="A509" s="17" t="s">
        <v>77</v>
      </c>
      <c r="B509" s="477" t="s">
        <v>2634</v>
      </c>
      <c r="C509" s="95">
        <f t="shared" si="12"/>
        <v>8118000</v>
      </c>
      <c r="D509" s="154">
        <v>8118000</v>
      </c>
      <c r="E509" s="2011"/>
      <c r="F509" s="95">
        <f t="shared" si="13"/>
        <v>4498157.74</v>
      </c>
      <c r="G509" s="154">
        <v>4498157.74</v>
      </c>
      <c r="H509" s="2011"/>
      <c r="I509" s="10"/>
    </row>
    <row r="510" spans="1:9" ht="16.5">
      <c r="A510" s="18" t="s">
        <v>81</v>
      </c>
      <c r="B510" s="477" t="s">
        <v>3280</v>
      </c>
      <c r="C510" s="98">
        <f t="shared" si="12"/>
        <v>2434200</v>
      </c>
      <c r="D510" s="154">
        <v>2434200</v>
      </c>
      <c r="E510" s="2011"/>
      <c r="F510" s="98">
        <f t="shared" si="13"/>
        <v>1654031.76</v>
      </c>
      <c r="G510" s="153">
        <v>1654031.76</v>
      </c>
      <c r="H510" s="2012"/>
    </row>
    <row r="511" spans="1:9" ht="16.5">
      <c r="A511" s="18" t="s">
        <v>79</v>
      </c>
      <c r="B511" s="477" t="s">
        <v>2635</v>
      </c>
      <c r="C511" s="98">
        <f t="shared" si="12"/>
        <v>255000</v>
      </c>
      <c r="D511" s="154">
        <v>255000</v>
      </c>
      <c r="E511" s="2011"/>
      <c r="F511" s="98">
        <f t="shared" si="13"/>
        <v>166250</v>
      </c>
      <c r="G511" s="153">
        <v>166250</v>
      </c>
      <c r="H511" s="2012"/>
    </row>
    <row r="512" spans="1:9" ht="16.5">
      <c r="A512" s="18"/>
      <c r="B512" s="477" t="s">
        <v>3339</v>
      </c>
      <c r="C512" s="98"/>
      <c r="D512" s="154">
        <f>D515+D516+D517+D518+D519</f>
        <v>208947.06</v>
      </c>
      <c r="E512" s="154">
        <f>E515+E515+E516+E517+E518+E519</f>
        <v>0</v>
      </c>
      <c r="F512" s="98"/>
      <c r="G512" s="154">
        <f>G515+G516+G517+G518+G519</f>
        <v>67100.86</v>
      </c>
      <c r="H512" s="154">
        <f>H515+H515+H516+H517+H518+H519</f>
        <v>0</v>
      </c>
    </row>
    <row r="513" spans="1:9" ht="16.5">
      <c r="A513" s="18"/>
      <c r="B513" s="477" t="s">
        <v>3340</v>
      </c>
      <c r="C513" s="98"/>
      <c r="D513" s="154">
        <f>D520+D521+D522+D523+D524+D525+D526+D527+D528</f>
        <v>5879978.3399999999</v>
      </c>
      <c r="E513" s="154">
        <f>E520+E521+E522+E523+E524+E525+E526+E527+E528</f>
        <v>684000</v>
      </c>
      <c r="F513" s="98"/>
      <c r="G513" s="154">
        <f>G520+G521+G522+G523+G524+G525+G526+G527+G528</f>
        <v>1114931.67</v>
      </c>
      <c r="H513" s="154">
        <f>H520+H521+H522+H523+H524+H525+H526+H527+H528</f>
        <v>65850</v>
      </c>
    </row>
    <row r="514" spans="1:9" ht="16.5">
      <c r="A514" s="18"/>
      <c r="B514" s="477" t="s">
        <v>3341</v>
      </c>
      <c r="C514" s="98"/>
      <c r="D514" s="154">
        <f>D529</f>
        <v>38500</v>
      </c>
      <c r="E514" s="154">
        <f>E529</f>
        <v>0</v>
      </c>
      <c r="F514" s="98"/>
      <c r="G514" s="154">
        <f>G529</f>
        <v>9813.59</v>
      </c>
      <c r="H514" s="154">
        <f>H529</f>
        <v>0</v>
      </c>
      <c r="I514" s="547"/>
    </row>
    <row r="515" spans="1:9" ht="16.5">
      <c r="A515" s="18" t="s">
        <v>83</v>
      </c>
      <c r="B515" s="34" t="s">
        <v>2636</v>
      </c>
      <c r="C515" s="98">
        <f t="shared" si="12"/>
        <v>86000</v>
      </c>
      <c r="D515" s="96">
        <v>86000</v>
      </c>
      <c r="E515" s="1771"/>
      <c r="F515" s="98">
        <f t="shared" si="13"/>
        <v>46809.86</v>
      </c>
      <c r="G515" s="99">
        <v>46809.86</v>
      </c>
      <c r="H515" s="1772"/>
    </row>
    <row r="516" spans="1:9" ht="16.5">
      <c r="A516" s="18" t="s">
        <v>89</v>
      </c>
      <c r="B516" s="34" t="s">
        <v>2637</v>
      </c>
      <c r="C516" s="98">
        <f t="shared" si="12"/>
        <v>26000</v>
      </c>
      <c r="D516" s="96">
        <v>26000</v>
      </c>
      <c r="E516" s="1771"/>
      <c r="F516" s="98">
        <f t="shared" si="13"/>
        <v>1091</v>
      </c>
      <c r="G516" s="99">
        <v>1091</v>
      </c>
      <c r="H516" s="1772"/>
    </row>
    <row r="517" spans="1:9" ht="16.5">
      <c r="A517" s="18" t="s">
        <v>91</v>
      </c>
      <c r="B517" s="34" t="s">
        <v>2638</v>
      </c>
      <c r="C517" s="98">
        <f t="shared" si="12"/>
        <v>49247.06</v>
      </c>
      <c r="D517" s="96">
        <v>49247.06</v>
      </c>
      <c r="E517" s="1771"/>
      <c r="F517" s="98">
        <f t="shared" si="13"/>
        <v>19200</v>
      </c>
      <c r="G517" s="99">
        <v>19200</v>
      </c>
      <c r="H517" s="1772"/>
    </row>
    <row r="518" spans="1:9" ht="16.5">
      <c r="A518" s="18" t="s">
        <v>97</v>
      </c>
      <c r="B518" s="34" t="s">
        <v>2639</v>
      </c>
      <c r="C518" s="98">
        <f t="shared" si="12"/>
        <v>16600</v>
      </c>
      <c r="D518" s="96">
        <v>16600</v>
      </c>
      <c r="E518" s="1771"/>
      <c r="F518" s="98">
        <f t="shared" si="13"/>
        <v>0</v>
      </c>
      <c r="G518" s="99"/>
      <c r="H518" s="1772"/>
    </row>
    <row r="519" spans="1:9" ht="16.5">
      <c r="A519" s="19" t="s">
        <v>100</v>
      </c>
      <c r="B519" s="34" t="s">
        <v>2640</v>
      </c>
      <c r="C519" s="98">
        <f t="shared" si="12"/>
        <v>31100</v>
      </c>
      <c r="D519" s="96">
        <v>31100</v>
      </c>
      <c r="E519" s="1771"/>
      <c r="F519" s="98">
        <f t="shared" si="13"/>
        <v>0</v>
      </c>
      <c r="G519" s="99"/>
      <c r="H519" s="1772"/>
    </row>
    <row r="520" spans="1:9" ht="16.5">
      <c r="A520" s="18" t="s">
        <v>83</v>
      </c>
      <c r="B520" s="34" t="s">
        <v>2641</v>
      </c>
      <c r="C520" s="98">
        <f t="shared" si="12"/>
        <v>0</v>
      </c>
      <c r="D520" s="96"/>
      <c r="E520" s="1771"/>
      <c r="F520" s="98">
        <f t="shared" si="13"/>
        <v>0</v>
      </c>
      <c r="G520" s="99"/>
      <c r="H520" s="1772"/>
    </row>
    <row r="521" spans="1:9" ht="16.5">
      <c r="A521" s="18" t="s">
        <v>85</v>
      </c>
      <c r="B521" s="34" t="s">
        <v>2642</v>
      </c>
      <c r="C521" s="98">
        <f>D521+E521</f>
        <v>46226</v>
      </c>
      <c r="D521" s="96">
        <v>46226</v>
      </c>
      <c r="E521" s="1771">
        <f>mo!L212</f>
        <v>0</v>
      </c>
      <c r="F521" s="98">
        <f>G521+H521</f>
        <v>25872.400000000001</v>
      </c>
      <c r="G521" s="99">
        <v>25872.400000000001</v>
      </c>
      <c r="H521" s="1772">
        <f>mo!M212</f>
        <v>0</v>
      </c>
    </row>
    <row r="522" spans="1:9" ht="16.5">
      <c r="A522" s="18" t="s">
        <v>87</v>
      </c>
      <c r="B522" s="34" t="s">
        <v>2643</v>
      </c>
      <c r="C522" s="98">
        <f t="shared" ref="C522:C556" si="15">D522+E522</f>
        <v>230752.94</v>
      </c>
      <c r="D522" s="96">
        <v>230752.94</v>
      </c>
      <c r="E522" s="1771"/>
      <c r="F522" s="98">
        <f t="shared" ref="F522:F556" si="16">G522+H522</f>
        <v>198376.08</v>
      </c>
      <c r="G522" s="99">
        <v>198376.08</v>
      </c>
      <c r="H522" s="1772"/>
    </row>
    <row r="523" spans="1:9" ht="16.5">
      <c r="A523" s="18" t="s">
        <v>25</v>
      </c>
      <c r="B523" s="34" t="s">
        <v>2644</v>
      </c>
      <c r="C523" s="98">
        <f t="shared" si="15"/>
        <v>0</v>
      </c>
      <c r="D523" s="96"/>
      <c r="E523" s="1771"/>
      <c r="F523" s="98">
        <f t="shared" si="16"/>
        <v>0</v>
      </c>
      <c r="G523" s="99"/>
      <c r="H523" s="1772"/>
    </row>
    <row r="524" spans="1:9" ht="16.5">
      <c r="A524" s="18" t="s">
        <v>89</v>
      </c>
      <c r="B524" s="34" t="s">
        <v>2645</v>
      </c>
      <c r="C524" s="98">
        <f t="shared" si="15"/>
        <v>283000</v>
      </c>
      <c r="D524" s="96">
        <v>283000</v>
      </c>
      <c r="E524" s="1771"/>
      <c r="F524" s="98">
        <f t="shared" si="16"/>
        <v>61995</v>
      </c>
      <c r="G524" s="99">
        <v>61995</v>
      </c>
      <c r="H524" s="1772"/>
    </row>
    <row r="525" spans="1:9" ht="16.5">
      <c r="A525" s="18" t="s">
        <v>91</v>
      </c>
      <c r="B525" s="34" t="s">
        <v>2646</v>
      </c>
      <c r="C525" s="98">
        <f t="shared" si="15"/>
        <v>330000</v>
      </c>
      <c r="D525" s="96">
        <v>215000</v>
      </c>
      <c r="E525" s="1771">
        <f>mo!L213</f>
        <v>115000</v>
      </c>
      <c r="F525" s="98">
        <f t="shared" si="16"/>
        <v>41097.040000000001</v>
      </c>
      <c r="G525" s="99">
        <v>29097.040000000001</v>
      </c>
      <c r="H525" s="1772">
        <f>mo!M213</f>
        <v>12000</v>
      </c>
    </row>
    <row r="526" spans="1:9" ht="16.5">
      <c r="A526" s="18" t="s">
        <v>95</v>
      </c>
      <c r="B526" s="34" t="s">
        <v>2647</v>
      </c>
      <c r="C526" s="98">
        <f t="shared" si="15"/>
        <v>597300</v>
      </c>
      <c r="D526" s="96">
        <v>151800</v>
      </c>
      <c r="E526" s="1771">
        <f>mo!L214</f>
        <v>445500</v>
      </c>
      <c r="F526" s="98">
        <f t="shared" si="16"/>
        <v>74200</v>
      </c>
      <c r="G526" s="99">
        <v>22350</v>
      </c>
      <c r="H526" s="1772">
        <f>mo!M214</f>
        <v>51850</v>
      </c>
    </row>
    <row r="527" spans="1:9" ht="16.5">
      <c r="A527" s="18" t="s">
        <v>97</v>
      </c>
      <c r="B527" s="34" t="s">
        <v>2648</v>
      </c>
      <c r="C527" s="98">
        <f t="shared" si="15"/>
        <v>1694299.4</v>
      </c>
      <c r="D527" s="96">
        <v>1692299.4</v>
      </c>
      <c r="E527" s="1771">
        <f>mo!L215</f>
        <v>2000</v>
      </c>
      <c r="F527" s="98">
        <f t="shared" si="16"/>
        <v>615899.4</v>
      </c>
      <c r="G527" s="99">
        <v>615899.4</v>
      </c>
      <c r="H527" s="1772">
        <f>mo!M215</f>
        <v>0</v>
      </c>
    </row>
    <row r="528" spans="1:9" ht="16.5">
      <c r="A528" s="19" t="s">
        <v>100</v>
      </c>
      <c r="B528" s="34" t="s">
        <v>2649</v>
      </c>
      <c r="C528" s="98">
        <f t="shared" si="15"/>
        <v>3382400</v>
      </c>
      <c r="D528" s="96">
        <v>3260900</v>
      </c>
      <c r="E528" s="1771">
        <f>mo!L216</f>
        <v>121500</v>
      </c>
      <c r="F528" s="98">
        <f t="shared" si="16"/>
        <v>163341.75</v>
      </c>
      <c r="G528" s="99">
        <v>161341.75</v>
      </c>
      <c r="H528" s="1772">
        <f>mo!M216</f>
        <v>2000</v>
      </c>
    </row>
    <row r="529" spans="1:9" ht="17.25" thickBot="1">
      <c r="A529" s="18" t="s">
        <v>95</v>
      </c>
      <c r="B529" s="34" t="s">
        <v>2650</v>
      </c>
      <c r="C529" s="101">
        <f t="shared" si="15"/>
        <v>38500</v>
      </c>
      <c r="D529" s="102">
        <v>38500</v>
      </c>
      <c r="E529" s="1773"/>
      <c r="F529" s="101">
        <f t="shared" si="16"/>
        <v>9813.59</v>
      </c>
      <c r="G529" s="102">
        <v>9813.59</v>
      </c>
      <c r="H529" s="1773"/>
    </row>
    <row r="530" spans="1:9" ht="48" thickBot="1">
      <c r="A530" s="282" t="s">
        <v>187</v>
      </c>
      <c r="B530" s="181" t="s">
        <v>186</v>
      </c>
      <c r="C530" s="150">
        <f t="shared" si="15"/>
        <v>1525300</v>
      </c>
      <c r="D530" s="129">
        <f>D531+D532+D533+D537+D538+D539+D540+D541+D542+D543+D544+D545+D546+D547+D548+D549</f>
        <v>1525300</v>
      </c>
      <c r="E530" s="106"/>
      <c r="F530" s="150">
        <f t="shared" si="16"/>
        <v>1194516.8500000001</v>
      </c>
      <c r="G530" s="129">
        <f>G531+G532+G533+G537+G538+G539+G540+G541+G542+G543+G544+G545+G546+G547+G548+G549</f>
        <v>1194516.8500000001</v>
      </c>
      <c r="H530" s="128"/>
    </row>
    <row r="531" spans="1:9" ht="16.5">
      <c r="A531" s="17" t="s">
        <v>77</v>
      </c>
      <c r="B531" s="477" t="s">
        <v>2683</v>
      </c>
      <c r="C531" s="113">
        <f t="shared" si="15"/>
        <v>1072400</v>
      </c>
      <c r="D531" s="154">
        <v>1072400</v>
      </c>
      <c r="E531" s="155"/>
      <c r="F531" s="113">
        <f t="shared" si="16"/>
        <v>854300</v>
      </c>
      <c r="G531" s="154">
        <v>854300</v>
      </c>
      <c r="H531" s="2004"/>
    </row>
    <row r="532" spans="1:9" ht="16.5">
      <c r="A532" s="18" t="s">
        <v>81</v>
      </c>
      <c r="B532" s="477" t="s">
        <v>3281</v>
      </c>
      <c r="C532" s="98">
        <f t="shared" si="15"/>
        <v>323900</v>
      </c>
      <c r="D532" s="154">
        <v>323900</v>
      </c>
      <c r="E532" s="126"/>
      <c r="F532" s="98">
        <f t="shared" si="16"/>
        <v>275219.78999999998</v>
      </c>
      <c r="G532" s="153">
        <v>275219.78999999998</v>
      </c>
      <c r="H532" s="2005"/>
    </row>
    <row r="533" spans="1:9" ht="16.5">
      <c r="A533" s="18" t="s">
        <v>79</v>
      </c>
      <c r="B533" s="477" t="s">
        <v>2684</v>
      </c>
      <c r="C533" s="98">
        <f t="shared" si="15"/>
        <v>22479</v>
      </c>
      <c r="D533" s="154">
        <v>22479</v>
      </c>
      <c r="E533" s="126"/>
      <c r="F533" s="98">
        <f t="shared" si="16"/>
        <v>0</v>
      </c>
      <c r="G533" s="153"/>
      <c r="H533" s="2005"/>
    </row>
    <row r="534" spans="1:9" ht="16.5">
      <c r="A534" s="18"/>
      <c r="B534" s="477" t="s">
        <v>3342</v>
      </c>
      <c r="C534" s="98"/>
      <c r="D534" s="154">
        <f>D537+D538+D539+D540+D541</f>
        <v>9292.58</v>
      </c>
      <c r="E534" s="126"/>
      <c r="F534" s="98"/>
      <c r="G534" s="154">
        <f>G537+G538+G539+G540+G541</f>
        <v>2531.69</v>
      </c>
      <c r="H534" s="2005"/>
    </row>
    <row r="535" spans="1:9" ht="16.5">
      <c r="A535" s="18"/>
      <c r="B535" s="477" t="s">
        <v>3343</v>
      </c>
      <c r="C535" s="98"/>
      <c r="D535" s="154">
        <f>D542+D543+D544+D545+D546+D547+D548</f>
        <v>94228.42</v>
      </c>
      <c r="E535" s="126"/>
      <c r="F535" s="98"/>
      <c r="G535" s="154">
        <f>G542+G543+G544+G545+G546+G547+G548</f>
        <v>59807.519999999997</v>
      </c>
      <c r="H535" s="2005"/>
    </row>
    <row r="536" spans="1:9" ht="16.5">
      <c r="A536" s="18"/>
      <c r="B536" s="477" t="s">
        <v>3344</v>
      </c>
      <c r="C536" s="98"/>
      <c r="D536" s="154">
        <f>D549</f>
        <v>3000</v>
      </c>
      <c r="E536" s="126"/>
      <c r="F536" s="98"/>
      <c r="G536" s="154">
        <f>G549</f>
        <v>2657.85</v>
      </c>
      <c r="H536" s="2005"/>
      <c r="I536" s="10"/>
    </row>
    <row r="537" spans="1:9" ht="16.5">
      <c r="A537" s="18" t="s">
        <v>83</v>
      </c>
      <c r="B537" s="34" t="s">
        <v>2685</v>
      </c>
      <c r="C537" s="98">
        <f t="shared" si="15"/>
        <v>3953</v>
      </c>
      <c r="D537" s="96">
        <v>3953</v>
      </c>
      <c r="E537" s="100"/>
      <c r="F537" s="98">
        <f t="shared" si="16"/>
        <v>2531.69</v>
      </c>
      <c r="G537" s="99">
        <v>2531.69</v>
      </c>
      <c r="H537" s="133"/>
    </row>
    <row r="538" spans="1:9" ht="16.5">
      <c r="A538" s="18" t="s">
        <v>89</v>
      </c>
      <c r="B538" s="34" t="s">
        <v>2686</v>
      </c>
      <c r="C538" s="98">
        <f t="shared" si="15"/>
        <v>0</v>
      </c>
      <c r="D538" s="96">
        <v>0</v>
      </c>
      <c r="E538" s="100"/>
      <c r="F538" s="98">
        <f t="shared" si="16"/>
        <v>0</v>
      </c>
      <c r="G538" s="99"/>
      <c r="H538" s="133"/>
    </row>
    <row r="539" spans="1:9" ht="16.5">
      <c r="A539" s="18" t="s">
        <v>91</v>
      </c>
      <c r="B539" s="34" t="s">
        <v>2687</v>
      </c>
      <c r="C539" s="98">
        <f t="shared" si="15"/>
        <v>5339.58</v>
      </c>
      <c r="D539" s="96">
        <v>5339.58</v>
      </c>
      <c r="E539" s="100"/>
      <c r="F539" s="98">
        <f t="shared" si="16"/>
        <v>0</v>
      </c>
      <c r="G539" s="99"/>
      <c r="H539" s="133"/>
    </row>
    <row r="540" spans="1:9" ht="16.5">
      <c r="A540" s="18" t="s">
        <v>97</v>
      </c>
      <c r="B540" s="34" t="s">
        <v>2688</v>
      </c>
      <c r="C540" s="98">
        <f t="shared" si="15"/>
        <v>0</v>
      </c>
      <c r="D540" s="96"/>
      <c r="E540" s="100"/>
      <c r="F540" s="98">
        <f t="shared" si="16"/>
        <v>0</v>
      </c>
      <c r="G540" s="99"/>
      <c r="H540" s="133"/>
    </row>
    <row r="541" spans="1:9" ht="16.5">
      <c r="A541" s="19" t="s">
        <v>100</v>
      </c>
      <c r="B541" s="34" t="s">
        <v>2689</v>
      </c>
      <c r="C541" s="98">
        <f t="shared" si="15"/>
        <v>0</v>
      </c>
      <c r="D541" s="96"/>
      <c r="E541" s="100"/>
      <c r="F541" s="98">
        <f t="shared" si="16"/>
        <v>0</v>
      </c>
      <c r="G541" s="99"/>
      <c r="H541" s="133"/>
    </row>
    <row r="542" spans="1:9" ht="16.5">
      <c r="A542" s="18" t="s">
        <v>83</v>
      </c>
      <c r="B542" s="34" t="s">
        <v>2690</v>
      </c>
      <c r="C542" s="98">
        <f t="shared" si="15"/>
        <v>0</v>
      </c>
      <c r="D542" s="96"/>
      <c r="E542" s="100"/>
      <c r="F542" s="98">
        <f t="shared" si="16"/>
        <v>0</v>
      </c>
      <c r="G542" s="99"/>
      <c r="H542" s="133"/>
    </row>
    <row r="543" spans="1:9" ht="16.5">
      <c r="A543" s="18" t="s">
        <v>85</v>
      </c>
      <c r="B543" s="34" t="s">
        <v>2691</v>
      </c>
      <c r="C543" s="98">
        <f t="shared" si="15"/>
        <v>20000</v>
      </c>
      <c r="D543" s="96">
        <v>20000</v>
      </c>
      <c r="E543" s="103"/>
      <c r="F543" s="98">
        <f t="shared" si="16"/>
        <v>20000</v>
      </c>
      <c r="G543" s="99">
        <v>20000</v>
      </c>
      <c r="H543" s="134"/>
    </row>
    <row r="544" spans="1:9" ht="16.5">
      <c r="A544" s="18" t="s">
        <v>87</v>
      </c>
      <c r="B544" s="34" t="s">
        <v>2692</v>
      </c>
      <c r="C544" s="98">
        <f t="shared" si="15"/>
        <v>40000</v>
      </c>
      <c r="D544" s="96">
        <v>40000</v>
      </c>
      <c r="E544" s="103"/>
      <c r="F544" s="98">
        <f t="shared" si="16"/>
        <v>39807.519999999997</v>
      </c>
      <c r="G544" s="99">
        <v>39807.519999999997</v>
      </c>
      <c r="H544" s="134"/>
    </row>
    <row r="545" spans="1:8" ht="16.5">
      <c r="A545" s="18" t="s">
        <v>89</v>
      </c>
      <c r="B545" s="34" t="s">
        <v>2836</v>
      </c>
      <c r="C545" s="98">
        <f t="shared" si="15"/>
        <v>2500</v>
      </c>
      <c r="D545" s="96">
        <v>2500</v>
      </c>
      <c r="E545" s="103"/>
      <c r="F545" s="98">
        <f>G545</f>
        <v>0</v>
      </c>
      <c r="G545" s="99"/>
      <c r="H545" s="134"/>
    </row>
    <row r="546" spans="1:8" ht="16.5">
      <c r="A546" s="18" t="s">
        <v>91</v>
      </c>
      <c r="B546" s="34" t="s">
        <v>2693</v>
      </c>
      <c r="C546" s="98">
        <f t="shared" si="15"/>
        <v>9428.42</v>
      </c>
      <c r="D546" s="96">
        <v>9428.42</v>
      </c>
      <c r="E546" s="103"/>
      <c r="F546" s="98">
        <f t="shared" si="16"/>
        <v>0</v>
      </c>
      <c r="G546" s="99"/>
      <c r="H546" s="134"/>
    </row>
    <row r="547" spans="1:8" ht="16.5">
      <c r="A547" s="19" t="s">
        <v>97</v>
      </c>
      <c r="B547" s="34" t="s">
        <v>2694</v>
      </c>
      <c r="C547" s="98">
        <f t="shared" si="15"/>
        <v>0</v>
      </c>
      <c r="D547" s="96"/>
      <c r="E547" s="103"/>
      <c r="F547" s="98">
        <f t="shared" si="16"/>
        <v>0</v>
      </c>
      <c r="G547" s="99"/>
      <c r="H547" s="134"/>
    </row>
    <row r="548" spans="1:8" ht="16.5">
      <c r="A548" s="19" t="s">
        <v>100</v>
      </c>
      <c r="B548" s="34" t="s">
        <v>2695</v>
      </c>
      <c r="C548" s="98">
        <f t="shared" si="15"/>
        <v>22300</v>
      </c>
      <c r="D548" s="96">
        <v>22300</v>
      </c>
      <c r="E548" s="103"/>
      <c r="F548" s="98">
        <f t="shared" si="16"/>
        <v>0</v>
      </c>
      <c r="G548" s="99"/>
      <c r="H548" s="134"/>
    </row>
    <row r="549" spans="1:8" ht="17.25" thickBot="1">
      <c r="A549" s="18" t="s">
        <v>95</v>
      </c>
      <c r="B549" s="34" t="s">
        <v>2696</v>
      </c>
      <c r="C549" s="101">
        <f t="shared" si="15"/>
        <v>3000</v>
      </c>
      <c r="D549" s="102">
        <v>3000</v>
      </c>
      <c r="E549" s="103"/>
      <c r="F549" s="101">
        <f t="shared" si="16"/>
        <v>2657.85</v>
      </c>
      <c r="G549" s="99">
        <v>2657.85</v>
      </c>
      <c r="H549" s="134"/>
    </row>
    <row r="550" spans="1:8" ht="17.25" thickBot="1">
      <c r="A550" s="46" t="s">
        <v>188</v>
      </c>
      <c r="B550" s="60" t="s">
        <v>189</v>
      </c>
      <c r="C550" s="93">
        <f t="shared" si="15"/>
        <v>40000</v>
      </c>
      <c r="D550" s="164">
        <f>SUM(D551:D554)</f>
        <v>40000</v>
      </c>
      <c r="E550" s="164">
        <f>SUM(E551:E554)</f>
        <v>0</v>
      </c>
      <c r="F550" s="93">
        <f t="shared" si="16"/>
        <v>0</v>
      </c>
      <c r="G550" s="164">
        <f>SUM(G551:G554)</f>
        <v>0</v>
      </c>
      <c r="H550" s="165">
        <f>H553</f>
        <v>0</v>
      </c>
    </row>
    <row r="551" spans="1:8" ht="16.5">
      <c r="A551" s="18" t="s">
        <v>79</v>
      </c>
      <c r="B551" s="31" t="s">
        <v>190</v>
      </c>
      <c r="C551" s="98">
        <f t="shared" si="15"/>
        <v>40000</v>
      </c>
      <c r="D551" s="111">
        <f t="shared" ref="D551:E553" si="17">D558</f>
        <v>40000</v>
      </c>
      <c r="E551" s="112">
        <f t="shared" si="17"/>
        <v>0</v>
      </c>
      <c r="F551" s="98">
        <f t="shared" si="16"/>
        <v>0</v>
      </c>
      <c r="G551" s="111">
        <f>G558</f>
        <v>0</v>
      </c>
      <c r="H551" s="112"/>
    </row>
    <row r="552" spans="1:8" ht="16.5">
      <c r="A552" s="18" t="s">
        <v>85</v>
      </c>
      <c r="B552" s="31" t="s">
        <v>64</v>
      </c>
      <c r="C552" s="98">
        <f t="shared" si="15"/>
        <v>0</v>
      </c>
      <c r="D552" s="111">
        <f t="shared" si="17"/>
        <v>0</v>
      </c>
      <c r="E552" s="112">
        <f t="shared" si="17"/>
        <v>0</v>
      </c>
      <c r="F552" s="98">
        <f t="shared" si="16"/>
        <v>0</v>
      </c>
      <c r="G552" s="111">
        <f>G559</f>
        <v>0</v>
      </c>
      <c r="H552" s="112"/>
    </row>
    <row r="553" spans="1:8" ht="16.5">
      <c r="A553" s="18" t="s">
        <v>91</v>
      </c>
      <c r="B553" s="31" t="s">
        <v>194</v>
      </c>
      <c r="C553" s="98">
        <f t="shared" si="15"/>
        <v>0</v>
      </c>
      <c r="D553" s="111">
        <f t="shared" si="17"/>
        <v>0</v>
      </c>
      <c r="E553" s="112">
        <f t="shared" si="17"/>
        <v>0</v>
      </c>
      <c r="F553" s="98">
        <f t="shared" si="16"/>
        <v>0</v>
      </c>
      <c r="G553" s="111">
        <f>G560</f>
        <v>0</v>
      </c>
      <c r="H553" s="112"/>
    </row>
    <row r="554" spans="1:8" ht="17.25" thickBot="1">
      <c r="A554" s="19" t="s">
        <v>100</v>
      </c>
      <c r="B554" s="32" t="s">
        <v>195</v>
      </c>
      <c r="C554" s="101">
        <f t="shared" si="15"/>
        <v>0</v>
      </c>
      <c r="D554" s="111">
        <v>0</v>
      </c>
      <c r="E554" s="112">
        <f>E556+E561</f>
        <v>0</v>
      </c>
      <c r="F554" s="101">
        <f t="shared" si="16"/>
        <v>0</v>
      </c>
      <c r="G554" s="111">
        <f>G556+G561</f>
        <v>0</v>
      </c>
      <c r="H554" s="116"/>
    </row>
    <row r="555" spans="1:8" ht="17.25" thickBot="1">
      <c r="A555" s="279" t="s">
        <v>2036</v>
      </c>
      <c r="B555" s="33" t="s">
        <v>197</v>
      </c>
      <c r="C555" s="104">
        <f t="shared" si="15"/>
        <v>0</v>
      </c>
      <c r="D555" s="105">
        <f>SUM(D556:D556)</f>
        <v>0</v>
      </c>
      <c r="E555" s="106"/>
      <c r="F555" s="104">
        <f t="shared" si="16"/>
        <v>0</v>
      </c>
      <c r="G555" s="107">
        <f>SUM(G556:G556)</f>
        <v>0</v>
      </c>
      <c r="H555" s="168"/>
    </row>
    <row r="556" spans="1:8" ht="17.25" thickBot="1">
      <c r="A556" s="19" t="s">
        <v>100</v>
      </c>
      <c r="B556" s="31" t="s">
        <v>233</v>
      </c>
      <c r="C556" s="101">
        <f t="shared" si="15"/>
        <v>0</v>
      </c>
      <c r="D556" s="102">
        <v>0</v>
      </c>
      <c r="E556" s="103"/>
      <c r="F556" s="101">
        <f t="shared" si="16"/>
        <v>0</v>
      </c>
      <c r="G556" s="115"/>
      <c r="H556" s="103"/>
    </row>
    <row r="557" spans="1:8" ht="32.25" thickBot="1">
      <c r="A557" s="279" t="s">
        <v>2039</v>
      </c>
      <c r="B557" s="33" t="s">
        <v>754</v>
      </c>
      <c r="C557" s="104">
        <f t="shared" ref="C557:C582" si="18">D557+E557</f>
        <v>40000</v>
      </c>
      <c r="D557" s="105">
        <f>SUM(D558:D561)</f>
        <v>40000</v>
      </c>
      <c r="E557" s="106"/>
      <c r="F557" s="104">
        <f>G557+H557</f>
        <v>0</v>
      </c>
      <c r="G557" s="107">
        <f>SUM(G558:G561)</f>
        <v>0</v>
      </c>
      <c r="H557" s="128"/>
    </row>
    <row r="558" spans="1:8" ht="16.5">
      <c r="A558" s="18" t="s">
        <v>79</v>
      </c>
      <c r="B558" s="31" t="s">
        <v>3282</v>
      </c>
      <c r="C558" s="98">
        <f t="shared" si="18"/>
        <v>40000</v>
      </c>
      <c r="D558" s="99">
        <v>40000</v>
      </c>
      <c r="E558" s="126"/>
      <c r="F558" s="98">
        <f>G558+H558</f>
        <v>0</v>
      </c>
      <c r="G558" s="111"/>
      <c r="H558" s="126"/>
    </row>
    <row r="559" spans="1:8" ht="16.5">
      <c r="A559" s="18" t="s">
        <v>85</v>
      </c>
      <c r="B559" s="31" t="s">
        <v>755</v>
      </c>
      <c r="C559" s="98">
        <f t="shared" si="18"/>
        <v>0</v>
      </c>
      <c r="D559" s="99"/>
      <c r="E559" s="126"/>
      <c r="F559" s="98">
        <f>G559+H559</f>
        <v>0</v>
      </c>
      <c r="G559" s="111"/>
      <c r="H559" s="126"/>
    </row>
    <row r="560" spans="1:8" ht="16.5">
      <c r="A560" s="18" t="s">
        <v>91</v>
      </c>
      <c r="B560" s="31" t="s">
        <v>760</v>
      </c>
      <c r="C560" s="98">
        <f t="shared" si="18"/>
        <v>0</v>
      </c>
      <c r="D560" s="99"/>
      <c r="E560" s="126"/>
      <c r="F560" s="98">
        <f>G560+H560</f>
        <v>0</v>
      </c>
      <c r="G560" s="111"/>
      <c r="H560" s="126"/>
    </row>
    <row r="561" spans="1:8" ht="17.25" thickBot="1">
      <c r="A561" s="18" t="s">
        <v>100</v>
      </c>
      <c r="B561" s="31" t="s">
        <v>761</v>
      </c>
      <c r="C561" s="101">
        <f t="shared" si="18"/>
        <v>0</v>
      </c>
      <c r="D561" s="121"/>
      <c r="E561" s="124"/>
      <c r="F561" s="101">
        <f t="shared" ref="F561:F566" si="19">G561+H561</f>
        <v>0</v>
      </c>
      <c r="G561" s="122"/>
      <c r="H561" s="124"/>
    </row>
    <row r="562" spans="1:8" ht="17.25" thickBot="1">
      <c r="A562" s="417" t="s">
        <v>198</v>
      </c>
      <c r="B562" s="60" t="s">
        <v>199</v>
      </c>
      <c r="C562" s="93">
        <f t="shared" si="18"/>
        <v>13941400</v>
      </c>
      <c r="D562" s="164">
        <f>SUM(D563:D576)</f>
        <v>13303400</v>
      </c>
      <c r="E562" s="164">
        <f>E577+E581+E603</f>
        <v>638000</v>
      </c>
      <c r="F562" s="93">
        <f t="shared" si="19"/>
        <v>5058791.3599999994</v>
      </c>
      <c r="G562" s="164">
        <f>SUM(G563:G576)</f>
        <v>4917285.1999999993</v>
      </c>
      <c r="H562" s="165">
        <f>H577+H581+H603</f>
        <v>141506.16</v>
      </c>
    </row>
    <row r="563" spans="1:8" ht="16.5">
      <c r="A563" s="17" t="s">
        <v>77</v>
      </c>
      <c r="B563" s="523" t="s">
        <v>2162</v>
      </c>
      <c r="C563" s="369">
        <f t="shared" si="18"/>
        <v>1170576.74</v>
      </c>
      <c r="D563" s="166">
        <f>D582+D604</f>
        <v>1170576.74</v>
      </c>
      <c r="E563" s="1778">
        <f>E582+E604</f>
        <v>0</v>
      </c>
      <c r="F563" s="369">
        <f t="shared" si="19"/>
        <v>273147.44999999995</v>
      </c>
      <c r="G563" s="166">
        <f>G582+G604</f>
        <v>273147.44999999995</v>
      </c>
      <c r="H563" s="1778">
        <f>H582+H604</f>
        <v>0</v>
      </c>
    </row>
    <row r="564" spans="1:8" ht="16.5">
      <c r="A564" s="18" t="s">
        <v>79</v>
      </c>
      <c r="B564" s="384" t="s">
        <v>842</v>
      </c>
      <c r="C564" s="98">
        <f t="shared" si="18"/>
        <v>1600</v>
      </c>
      <c r="D564" s="167">
        <f>D606</f>
        <v>1600</v>
      </c>
      <c r="E564" s="1779">
        <f>E606</f>
        <v>0</v>
      </c>
      <c r="F564" s="98">
        <f t="shared" si="19"/>
        <v>0</v>
      </c>
      <c r="G564" s="167">
        <f>G606</f>
        <v>0</v>
      </c>
      <c r="H564" s="1779">
        <f>H606</f>
        <v>0</v>
      </c>
    </row>
    <row r="565" spans="1:8" ht="16.5">
      <c r="A565" s="18" t="s">
        <v>81</v>
      </c>
      <c r="B565" s="31" t="s">
        <v>2163</v>
      </c>
      <c r="C565" s="98">
        <f t="shared" si="18"/>
        <v>353514.17000000004</v>
      </c>
      <c r="D565" s="167">
        <f>D583+D605</f>
        <v>353514.17000000004</v>
      </c>
      <c r="E565" s="1779">
        <f>E583+E605</f>
        <v>0</v>
      </c>
      <c r="F565" s="98">
        <f t="shared" si="19"/>
        <v>82954.450000000012</v>
      </c>
      <c r="G565" s="167">
        <f>G583+G605</f>
        <v>82954.450000000012</v>
      </c>
      <c r="H565" s="1779">
        <f>H583+H605</f>
        <v>0</v>
      </c>
    </row>
    <row r="566" spans="1:8" ht="16.5">
      <c r="A566" s="18" t="s">
        <v>83</v>
      </c>
      <c r="B566" s="34" t="s">
        <v>2164</v>
      </c>
      <c r="C566" s="98">
        <f t="shared" si="18"/>
        <v>41775</v>
      </c>
      <c r="D566" s="167">
        <f>D588+D592+D609+D613</f>
        <v>41775</v>
      </c>
      <c r="E566" s="1779">
        <f>E588+E592+E609+E613</f>
        <v>0</v>
      </c>
      <c r="F566" s="98">
        <f t="shared" si="19"/>
        <v>5256.75</v>
      </c>
      <c r="G566" s="167">
        <f>G588+G592+G609+G613</f>
        <v>5256.75</v>
      </c>
      <c r="H566" s="1779">
        <f>H588+H592+H609+H613</f>
        <v>0</v>
      </c>
    </row>
    <row r="567" spans="1:8" ht="16.5">
      <c r="A567" s="18" t="s">
        <v>85</v>
      </c>
      <c r="B567" s="34" t="s">
        <v>848</v>
      </c>
      <c r="C567" s="98">
        <f t="shared" si="18"/>
        <v>15650</v>
      </c>
      <c r="D567" s="167">
        <f>D614</f>
        <v>15650</v>
      </c>
      <c r="E567" s="1779">
        <f>E614</f>
        <v>0</v>
      </c>
      <c r="F567" s="98">
        <f>G567</f>
        <v>0</v>
      </c>
      <c r="G567" s="167">
        <f>G614</f>
        <v>0</v>
      </c>
      <c r="H567" s="1779">
        <f>H614</f>
        <v>0</v>
      </c>
    </row>
    <row r="568" spans="1:8" ht="16.5">
      <c r="A568" s="283" t="s">
        <v>87</v>
      </c>
      <c r="B568" s="34" t="s">
        <v>2153</v>
      </c>
      <c r="C568" s="98">
        <f t="shared" si="18"/>
        <v>13688</v>
      </c>
      <c r="D568" s="167">
        <f>D593+D615</f>
        <v>13688</v>
      </c>
      <c r="E568" s="1779">
        <f>E593+E615</f>
        <v>0</v>
      </c>
      <c r="F568" s="98">
        <f>G568+H568</f>
        <v>62.33</v>
      </c>
      <c r="G568" s="167">
        <f>G593+G615</f>
        <v>62.33</v>
      </c>
      <c r="H568" s="1779">
        <f>H593+H615</f>
        <v>0</v>
      </c>
    </row>
    <row r="569" spans="1:8" ht="16.5">
      <c r="A569" s="18" t="s">
        <v>25</v>
      </c>
      <c r="B569" s="357" t="s">
        <v>261</v>
      </c>
      <c r="C569" s="98">
        <f>D569</f>
        <v>0</v>
      </c>
      <c r="D569" s="167"/>
      <c r="E569" s="1779"/>
      <c r="F569" s="98">
        <f>G569</f>
        <v>0</v>
      </c>
      <c r="G569" s="167"/>
      <c r="H569" s="1779"/>
    </row>
    <row r="570" spans="1:8" ht="16.5">
      <c r="A570" s="18" t="s">
        <v>89</v>
      </c>
      <c r="B570" s="357" t="s">
        <v>2097</v>
      </c>
      <c r="C570" s="98">
        <f t="shared" si="18"/>
        <v>1000</v>
      </c>
      <c r="D570" s="167">
        <f>D594+D616</f>
        <v>1000</v>
      </c>
      <c r="E570" s="1779"/>
      <c r="F570" s="98">
        <f>-G570</f>
        <v>0</v>
      </c>
      <c r="G570" s="167">
        <f>G594+G616</f>
        <v>0</v>
      </c>
      <c r="H570" s="1779"/>
    </row>
    <row r="571" spans="1:8" ht="16.5">
      <c r="A571" s="18" t="s">
        <v>91</v>
      </c>
      <c r="B571" s="31" t="s">
        <v>200</v>
      </c>
      <c r="C571" s="98">
        <f t="shared" si="18"/>
        <v>49377</v>
      </c>
      <c r="D571" s="111">
        <f>D595+D617+D589+D610</f>
        <v>49377</v>
      </c>
      <c r="E571" s="1779">
        <f>E595+E617+E589+E610</f>
        <v>0</v>
      </c>
      <c r="F571" s="98">
        <f>G571+H571</f>
        <v>23783.43</v>
      </c>
      <c r="G571" s="111">
        <f>G595+G617+G589+G610</f>
        <v>23783.43</v>
      </c>
      <c r="H571" s="1779">
        <f>H595+H617+H589+H610</f>
        <v>0</v>
      </c>
    </row>
    <row r="572" spans="1:8" ht="16.5">
      <c r="A572" s="18" t="s">
        <v>201</v>
      </c>
      <c r="B572" s="31" t="s">
        <v>202</v>
      </c>
      <c r="C572" s="98">
        <f t="shared" si="18"/>
        <v>9665000</v>
      </c>
      <c r="D572" s="111">
        <f>D598</f>
        <v>9665000</v>
      </c>
      <c r="E572" s="1779">
        <f>E598</f>
        <v>0</v>
      </c>
      <c r="F572" s="98">
        <f>G572+H572</f>
        <v>3998727.36</v>
      </c>
      <c r="G572" s="111">
        <f>G598</f>
        <v>3998727.36</v>
      </c>
      <c r="H572" s="1779">
        <f>H598</f>
        <v>0</v>
      </c>
    </row>
    <row r="573" spans="1:8" ht="39">
      <c r="A573" s="18" t="s">
        <v>203</v>
      </c>
      <c r="B573" s="31" t="s">
        <v>204</v>
      </c>
      <c r="C573" s="98">
        <f t="shared" si="18"/>
        <v>1838000</v>
      </c>
      <c r="D573" s="111">
        <f>D578</f>
        <v>1200000</v>
      </c>
      <c r="E573" s="1779">
        <f>E578</f>
        <v>638000</v>
      </c>
      <c r="F573" s="98">
        <f>G573+H573</f>
        <v>512107.58999999997</v>
      </c>
      <c r="G573" s="111">
        <f>G578</f>
        <v>370601.43</v>
      </c>
      <c r="H573" s="1779">
        <f>H578</f>
        <v>141506.16</v>
      </c>
    </row>
    <row r="574" spans="1:8" ht="16.5">
      <c r="A574" s="18" t="s">
        <v>95</v>
      </c>
      <c r="B574" s="31" t="s">
        <v>121</v>
      </c>
      <c r="C574" s="98">
        <f t="shared" si="18"/>
        <v>0</v>
      </c>
      <c r="D574" s="111"/>
      <c r="E574" s="1779"/>
      <c r="F574" s="98">
        <f>G574</f>
        <v>0</v>
      </c>
      <c r="G574" s="111"/>
      <c r="H574" s="1779"/>
    </row>
    <row r="575" spans="1:8" ht="16.5">
      <c r="A575" s="19" t="s">
        <v>97</v>
      </c>
      <c r="B575" s="31" t="s">
        <v>2165</v>
      </c>
      <c r="C575" s="98">
        <f t="shared" si="18"/>
        <v>10000</v>
      </c>
      <c r="D575" s="111">
        <f>D590+D596+D611+D618</f>
        <v>10000</v>
      </c>
      <c r="E575" s="1779">
        <f>E590+E596+E611+E618</f>
        <v>0</v>
      </c>
      <c r="F575" s="98">
        <f>G575+H575</f>
        <v>0</v>
      </c>
      <c r="G575" s="111">
        <f>G590+G596+G611+G618</f>
        <v>0</v>
      </c>
      <c r="H575" s="1779">
        <f>H590+H596+H611+H618</f>
        <v>0</v>
      </c>
    </row>
    <row r="576" spans="1:8" ht="17.25" thickBot="1">
      <c r="A576" s="19" t="s">
        <v>770</v>
      </c>
      <c r="B576" s="32" t="s">
        <v>2156</v>
      </c>
      <c r="C576" s="149">
        <f t="shared" si="18"/>
        <v>781219.09</v>
      </c>
      <c r="D576" s="115">
        <f>D591+D597+D599+D612+D619</f>
        <v>781219.09</v>
      </c>
      <c r="E576" s="1780">
        <f>E591+E597+E599+E612+E619</f>
        <v>0</v>
      </c>
      <c r="F576" s="149">
        <f t="shared" ref="F576:F582" si="20">G576+H576</f>
        <v>162752</v>
      </c>
      <c r="G576" s="115">
        <f>G591+G597+G599+G612+G619</f>
        <v>162752</v>
      </c>
      <c r="H576" s="1780">
        <f>H591+H597+H599+H612+H619</f>
        <v>0</v>
      </c>
    </row>
    <row r="577" spans="1:9" ht="17.25" thickBot="1">
      <c r="A577" s="381" t="s">
        <v>205</v>
      </c>
      <c r="B577" s="33" t="s">
        <v>206</v>
      </c>
      <c r="C577" s="104">
        <f t="shared" si="18"/>
        <v>1838000</v>
      </c>
      <c r="D577" s="105">
        <f>D578</f>
        <v>1200000</v>
      </c>
      <c r="E577" s="106">
        <f>E578</f>
        <v>638000</v>
      </c>
      <c r="F577" s="104">
        <f t="shared" si="20"/>
        <v>512107.58999999997</v>
      </c>
      <c r="G577" s="160">
        <f>G578</f>
        <v>370601.43</v>
      </c>
      <c r="H577" s="128">
        <f>H578</f>
        <v>141506.16</v>
      </c>
    </row>
    <row r="578" spans="1:9" ht="39.75" thickBot="1">
      <c r="A578" s="278" t="s">
        <v>203</v>
      </c>
      <c r="B578" s="36" t="s">
        <v>2651</v>
      </c>
      <c r="C578" s="104">
        <f t="shared" si="18"/>
        <v>1838000</v>
      </c>
      <c r="D578" s="121">
        <v>1200000</v>
      </c>
      <c r="E578" s="114">
        <f>mo!L218</f>
        <v>638000</v>
      </c>
      <c r="F578" s="104">
        <f t="shared" si="20"/>
        <v>512107.58999999997</v>
      </c>
      <c r="G578" s="122">
        <v>370601.43</v>
      </c>
      <c r="H578" s="114">
        <f>mo!M218</f>
        <v>141506.16</v>
      </c>
    </row>
    <row r="579" spans="1:9" ht="32.25" thickBot="1">
      <c r="A579" s="279" t="s">
        <v>207</v>
      </c>
      <c r="B579" s="33" t="s">
        <v>851</v>
      </c>
      <c r="C579" s="104">
        <f t="shared" si="18"/>
        <v>0</v>
      </c>
      <c r="D579" s="105"/>
      <c r="E579" s="118"/>
      <c r="F579" s="104">
        <f t="shared" si="20"/>
        <v>0</v>
      </c>
      <c r="G579" s="119"/>
      <c r="H579" s="148"/>
    </row>
    <row r="580" spans="1:9" ht="17.25" thickBot="1">
      <c r="A580" s="278" t="s">
        <v>773</v>
      </c>
      <c r="B580" s="36" t="s">
        <v>850</v>
      </c>
      <c r="C580" s="104">
        <f t="shared" si="18"/>
        <v>0</v>
      </c>
      <c r="D580" s="121"/>
      <c r="E580" s="114"/>
      <c r="F580" s="104">
        <f t="shared" si="20"/>
        <v>0</v>
      </c>
      <c r="G580" s="122"/>
      <c r="H580" s="114"/>
    </row>
    <row r="581" spans="1:9" ht="17.25" thickBot="1">
      <c r="A581" s="381" t="s">
        <v>208</v>
      </c>
      <c r="B581" s="33" t="s">
        <v>209</v>
      </c>
      <c r="C581" s="104">
        <f t="shared" si="18"/>
        <v>11265100</v>
      </c>
      <c r="D581" s="129">
        <f>D582+D583+D588+D589+D590+D591+D592+D593+D594+D595+D596+D597+D598+D599</f>
        <v>11265100</v>
      </c>
      <c r="E581" s="129">
        <f>E582+E583+E588+E589+E590+E591+E592+E593+E594+E595+E596+E597+E598+E599</f>
        <v>0</v>
      </c>
      <c r="F581" s="104">
        <f t="shared" si="20"/>
        <v>4357608.5999999996</v>
      </c>
      <c r="G581" s="129">
        <f>G582+G583+G588+G589+G590+G591+G592+G593+G594+G595+G596+G597+G598+G599</f>
        <v>4357608.5999999996</v>
      </c>
      <c r="H581" s="129">
        <f>H582+H583+H588+H589+H590+H591+H592+H593+H594+H595+H596+H597+H598+H599</f>
        <v>0</v>
      </c>
    </row>
    <row r="582" spans="1:9" ht="16.5">
      <c r="A582" s="17" t="s">
        <v>77</v>
      </c>
      <c r="B582" s="477" t="s">
        <v>2652</v>
      </c>
      <c r="C582" s="770">
        <f t="shared" si="18"/>
        <v>585253.46</v>
      </c>
      <c r="D582" s="154">
        <v>585253.46</v>
      </c>
      <c r="E582" s="155"/>
      <c r="F582" s="599">
        <f t="shared" si="20"/>
        <v>137322.35999999999</v>
      </c>
      <c r="G582" s="2003">
        <v>137322.35999999999</v>
      </c>
      <c r="H582" s="380"/>
    </row>
    <row r="583" spans="1:9" ht="16.5">
      <c r="A583" s="18" t="s">
        <v>81</v>
      </c>
      <c r="B583" s="472" t="s">
        <v>3283</v>
      </c>
      <c r="C583" s="113">
        <f>D583</f>
        <v>176746.54</v>
      </c>
      <c r="D583" s="2007">
        <v>176746.54</v>
      </c>
      <c r="E583" s="124"/>
      <c r="F583" s="113">
        <f>G583</f>
        <v>41471.370000000003</v>
      </c>
      <c r="G583" s="2589">
        <v>41471.370000000003</v>
      </c>
      <c r="H583" s="157"/>
    </row>
    <row r="584" spans="1:9" ht="16.5">
      <c r="A584" s="18"/>
      <c r="B584" s="472" t="s">
        <v>3416</v>
      </c>
      <c r="C584" s="98"/>
      <c r="D584" s="153">
        <f>D588+D589+D590+D591</f>
        <v>25920</v>
      </c>
      <c r="E584" s="153">
        <f>E588+E589+E590+E591</f>
        <v>0</v>
      </c>
      <c r="F584" s="98"/>
      <c r="G584" s="153">
        <f>G588+G589+G590+G591</f>
        <v>1156.75</v>
      </c>
      <c r="H584" s="153">
        <f>H588+H589+H590+H591</f>
        <v>0</v>
      </c>
    </row>
    <row r="585" spans="1:9" ht="16.5">
      <c r="A585" s="18"/>
      <c r="B585" s="472" t="s">
        <v>3417</v>
      </c>
      <c r="C585" s="98"/>
      <c r="D585" s="153">
        <f>D592+D593+D594+D595+D596+D597</f>
        <v>47180</v>
      </c>
      <c r="E585" s="153">
        <f>E592+E593+E594+E595+E596+E597</f>
        <v>0</v>
      </c>
      <c r="F585" s="98"/>
      <c r="G585" s="153">
        <f>G592+G593+G594+G595+G596+G597</f>
        <v>18930.760000000002</v>
      </c>
      <c r="H585" s="153">
        <f>H592+H593+H594+H595+H596+H597</f>
        <v>0</v>
      </c>
    </row>
    <row r="586" spans="1:9" ht="16.5">
      <c r="A586" s="18"/>
      <c r="B586" s="472" t="s">
        <v>3418</v>
      </c>
      <c r="C586" s="98"/>
      <c r="D586" s="153">
        <f>D598+D599</f>
        <v>10430000</v>
      </c>
      <c r="E586" s="153">
        <f>E598</f>
        <v>0</v>
      </c>
      <c r="F586" s="98"/>
      <c r="G586" s="153">
        <f>G598+G599</f>
        <v>4158727.36</v>
      </c>
      <c r="H586" s="153">
        <f>H598</f>
        <v>0</v>
      </c>
      <c r="I586" s="547"/>
    </row>
    <row r="587" spans="1:9" ht="16.5">
      <c r="A587" s="18"/>
      <c r="B587" s="472" t="s">
        <v>3419</v>
      </c>
      <c r="C587" s="98"/>
      <c r="D587" s="153"/>
      <c r="E587" s="153">
        <f>E599</f>
        <v>0</v>
      </c>
      <c r="F587" s="98"/>
      <c r="G587" s="153"/>
      <c r="H587" s="153">
        <f>H599</f>
        <v>0</v>
      </c>
    </row>
    <row r="588" spans="1:9" ht="16.5">
      <c r="A588" s="18" t="s">
        <v>83</v>
      </c>
      <c r="B588" s="31" t="s">
        <v>2653</v>
      </c>
      <c r="C588" s="98">
        <f>D588+E588</f>
        <v>16720</v>
      </c>
      <c r="D588" s="96">
        <v>16720</v>
      </c>
      <c r="E588" s="126"/>
      <c r="F588" s="98">
        <f>G588+H588</f>
        <v>1156.75</v>
      </c>
      <c r="G588" s="111">
        <v>1156.75</v>
      </c>
      <c r="H588" s="126"/>
    </row>
    <row r="589" spans="1:9" ht="16.5">
      <c r="A589" s="18" t="s">
        <v>91</v>
      </c>
      <c r="B589" s="31" t="s">
        <v>2654</v>
      </c>
      <c r="C589" s="98">
        <f>D589+E589</f>
        <v>6600</v>
      </c>
      <c r="D589" s="96">
        <v>6600</v>
      </c>
      <c r="E589" s="126"/>
      <c r="F589" s="98">
        <f>G589</f>
        <v>0</v>
      </c>
      <c r="G589" s="111"/>
      <c r="H589" s="126"/>
    </row>
    <row r="590" spans="1:9" ht="16.5">
      <c r="A590" s="18" t="s">
        <v>97</v>
      </c>
      <c r="B590" s="31" t="s">
        <v>2655</v>
      </c>
      <c r="C590" s="541">
        <f>D590+E590</f>
        <v>0</v>
      </c>
      <c r="D590" s="96">
        <v>0</v>
      </c>
      <c r="E590" s="126"/>
      <c r="F590" s="98">
        <f>G590</f>
        <v>0</v>
      </c>
      <c r="G590" s="111"/>
      <c r="H590" s="126"/>
    </row>
    <row r="591" spans="1:9" ht="16.5">
      <c r="A591" s="19" t="s">
        <v>770</v>
      </c>
      <c r="B591" s="31" t="s">
        <v>2656</v>
      </c>
      <c r="C591" s="541">
        <f>D591+E591</f>
        <v>2600</v>
      </c>
      <c r="D591" s="96">
        <v>2600</v>
      </c>
      <c r="E591" s="126"/>
      <c r="F591" s="98">
        <f>G591</f>
        <v>0</v>
      </c>
      <c r="G591" s="111"/>
      <c r="H591" s="126"/>
    </row>
    <row r="592" spans="1:9" ht="16.5">
      <c r="A592" s="18" t="s">
        <v>83</v>
      </c>
      <c r="B592" s="31" t="s">
        <v>2657</v>
      </c>
      <c r="C592" s="541">
        <f>D592</f>
        <v>5580</v>
      </c>
      <c r="D592" s="96">
        <v>5580</v>
      </c>
      <c r="E592" s="126"/>
      <c r="F592" s="98">
        <f>G592</f>
        <v>2100</v>
      </c>
      <c r="G592" s="111">
        <v>2100</v>
      </c>
      <c r="H592" s="126"/>
    </row>
    <row r="593" spans="1:9" ht="16.5">
      <c r="A593" s="283" t="s">
        <v>87</v>
      </c>
      <c r="B593" s="31" t="s">
        <v>2658</v>
      </c>
      <c r="C593" s="541">
        <f>D593</f>
        <v>5600</v>
      </c>
      <c r="D593" s="96">
        <v>5600</v>
      </c>
      <c r="E593" s="126"/>
      <c r="F593" s="98">
        <f>G593</f>
        <v>62.33</v>
      </c>
      <c r="G593" s="111">
        <v>62.33</v>
      </c>
      <c r="H593" s="126"/>
    </row>
    <row r="594" spans="1:9" ht="16.5">
      <c r="A594" s="283"/>
      <c r="B594" s="31" t="s">
        <v>3284</v>
      </c>
      <c r="C594" s="542">
        <f>D594+E594</f>
        <v>0</v>
      </c>
      <c r="D594" s="96">
        <v>0</v>
      </c>
      <c r="E594" s="126"/>
      <c r="F594" s="98">
        <f>G594+H594</f>
        <v>0</v>
      </c>
      <c r="G594" s="111"/>
      <c r="H594" s="126"/>
    </row>
    <row r="595" spans="1:9" ht="16.5">
      <c r="A595" s="18" t="s">
        <v>91</v>
      </c>
      <c r="B595" s="31" t="s">
        <v>2659</v>
      </c>
      <c r="C595" s="542">
        <f>D595+E595</f>
        <v>35000</v>
      </c>
      <c r="D595" s="96">
        <v>35000</v>
      </c>
      <c r="E595" s="100">
        <f>mo!L222</f>
        <v>0</v>
      </c>
      <c r="F595" s="98">
        <f>G595+H595</f>
        <v>16583.43</v>
      </c>
      <c r="G595" s="111">
        <v>16583.43</v>
      </c>
      <c r="H595" s="100">
        <f>mo!M222</f>
        <v>0</v>
      </c>
    </row>
    <row r="596" spans="1:9" ht="16.5">
      <c r="A596" s="19" t="s">
        <v>97</v>
      </c>
      <c r="B596" s="31" t="s">
        <v>2660</v>
      </c>
      <c r="C596" s="542">
        <f t="shared" ref="C596:C602" si="21">D596</f>
        <v>0</v>
      </c>
      <c r="D596" s="96">
        <v>0</v>
      </c>
      <c r="E596" s="100"/>
      <c r="F596" s="542">
        <f t="shared" ref="F596:F602" si="22">G596</f>
        <v>0</v>
      </c>
      <c r="G596" s="111"/>
      <c r="H596" s="173"/>
    </row>
    <row r="597" spans="1:9" ht="16.5">
      <c r="A597" s="19" t="s">
        <v>770</v>
      </c>
      <c r="B597" s="31" t="s">
        <v>2661</v>
      </c>
      <c r="C597" s="542">
        <f t="shared" si="21"/>
        <v>1000</v>
      </c>
      <c r="D597" s="96">
        <v>1000</v>
      </c>
      <c r="E597" s="103"/>
      <c r="F597" s="542">
        <f t="shared" si="22"/>
        <v>185</v>
      </c>
      <c r="G597" s="115">
        <v>185</v>
      </c>
      <c r="H597" s="162"/>
    </row>
    <row r="598" spans="1:9" ht="16.5">
      <c r="A598" s="18" t="s">
        <v>201</v>
      </c>
      <c r="B598" s="31" t="s">
        <v>2662</v>
      </c>
      <c r="C598" s="542">
        <f t="shared" si="21"/>
        <v>9665000</v>
      </c>
      <c r="D598" s="96">
        <v>9665000</v>
      </c>
      <c r="E598" s="103"/>
      <c r="F598" s="542">
        <f t="shared" si="22"/>
        <v>3998727.36</v>
      </c>
      <c r="G598" s="115">
        <v>3998727.36</v>
      </c>
      <c r="H598" s="162"/>
    </row>
    <row r="599" spans="1:9" ht="17.25" thickBot="1">
      <c r="A599" s="19" t="s">
        <v>770</v>
      </c>
      <c r="B599" s="32" t="s">
        <v>3427</v>
      </c>
      <c r="C599" s="610">
        <f t="shared" si="21"/>
        <v>765000</v>
      </c>
      <c r="D599" s="96">
        <v>765000</v>
      </c>
      <c r="E599" s="103"/>
      <c r="F599" s="610">
        <f t="shared" si="22"/>
        <v>160000</v>
      </c>
      <c r="G599" s="115">
        <v>160000</v>
      </c>
      <c r="H599" s="162"/>
    </row>
    <row r="600" spans="1:9" ht="17.25" thickBot="1">
      <c r="A600" s="493" t="s">
        <v>1634</v>
      </c>
      <c r="B600" s="33" t="s">
        <v>1635</v>
      </c>
      <c r="C600" s="104">
        <f t="shared" si="21"/>
        <v>0</v>
      </c>
      <c r="D600" s="105">
        <f>SUM(D601:D602)</f>
        <v>0</v>
      </c>
      <c r="E600" s="118"/>
      <c r="F600" s="104">
        <f t="shared" si="22"/>
        <v>0</v>
      </c>
      <c r="G600" s="119">
        <f>SUM(G601:G602)</f>
        <v>0</v>
      </c>
      <c r="H600" s="148"/>
    </row>
    <row r="601" spans="1:9" ht="26.25">
      <c r="A601" s="17" t="s">
        <v>1636</v>
      </c>
      <c r="B601" s="768" t="s">
        <v>1637</v>
      </c>
      <c r="C601" s="599">
        <f t="shared" si="21"/>
        <v>0</v>
      </c>
      <c r="D601" s="96"/>
      <c r="E601" s="97"/>
      <c r="F601" s="599">
        <f t="shared" si="22"/>
        <v>0</v>
      </c>
      <c r="G601" s="109"/>
      <c r="H601" s="152"/>
    </row>
    <row r="602" spans="1:9" ht="17.25" thickBot="1">
      <c r="A602" s="19" t="s">
        <v>770</v>
      </c>
      <c r="B602" s="767" t="s">
        <v>1638</v>
      </c>
      <c r="C602" s="113">
        <f t="shared" si="21"/>
        <v>0</v>
      </c>
      <c r="D602" s="121"/>
      <c r="E602" s="114"/>
      <c r="F602" s="542">
        <f t="shared" si="22"/>
        <v>0</v>
      </c>
      <c r="G602" s="122"/>
      <c r="H602" s="370"/>
    </row>
    <row r="603" spans="1:9" ht="32.25" thickBot="1">
      <c r="A603" s="381" t="s">
        <v>210</v>
      </c>
      <c r="B603" s="1728" t="s">
        <v>211</v>
      </c>
      <c r="C603" s="104">
        <f>D603+E603</f>
        <v>838300</v>
      </c>
      <c r="D603" s="607">
        <f>D604+D605+D606+D609+D610+D611+D612+D613+D614+D615+D616+D617+D618+D619</f>
        <v>838300</v>
      </c>
      <c r="E603" s="106">
        <f>SUM(E604:E619)</f>
        <v>0</v>
      </c>
      <c r="F603" s="104">
        <f>G603+H603</f>
        <v>189075.16999999998</v>
      </c>
      <c r="G603" s="607">
        <f>G604+G605+G606+G609+G610+G611+G612+G613+G614+G615+G616+G617+G618+G619</f>
        <v>189075.16999999998</v>
      </c>
      <c r="H603" s="128">
        <f>SUM(H604:H619)</f>
        <v>0</v>
      </c>
    </row>
    <row r="604" spans="1:9" ht="16.5">
      <c r="A604" s="17" t="s">
        <v>77</v>
      </c>
      <c r="B604" s="2590" t="s">
        <v>2663</v>
      </c>
      <c r="C604" s="95">
        <f>D604+E604</f>
        <v>585323.28</v>
      </c>
      <c r="D604" s="153">
        <v>585323.28</v>
      </c>
      <c r="E604" s="378"/>
      <c r="F604" s="95">
        <f>G604+H604</f>
        <v>135825.09</v>
      </c>
      <c r="G604" s="608">
        <v>135825.09</v>
      </c>
      <c r="H604" s="379"/>
    </row>
    <row r="605" spans="1:9" ht="16.5">
      <c r="A605" s="18" t="s">
        <v>81</v>
      </c>
      <c r="B605" s="2590" t="s">
        <v>3285</v>
      </c>
      <c r="C605" s="98">
        <f t="shared" ref="C605:C619" si="23">D605+E605</f>
        <v>176767.63</v>
      </c>
      <c r="D605" s="153">
        <v>176767.63</v>
      </c>
      <c r="E605" s="126"/>
      <c r="F605" s="98">
        <f t="shared" ref="F605:F618" si="24">G605+H605</f>
        <v>41483.08</v>
      </c>
      <c r="G605" s="499">
        <v>41483.08</v>
      </c>
      <c r="H605" s="126"/>
    </row>
    <row r="606" spans="1:9" ht="16.5">
      <c r="A606" s="18" t="s">
        <v>79</v>
      </c>
      <c r="B606" s="2590" t="s">
        <v>2664</v>
      </c>
      <c r="C606" s="98">
        <f t="shared" si="23"/>
        <v>1600</v>
      </c>
      <c r="D606" s="153">
        <v>1600</v>
      </c>
      <c r="E606" s="155"/>
      <c r="F606" s="98">
        <f t="shared" si="24"/>
        <v>0</v>
      </c>
      <c r="G606" s="2003"/>
      <c r="H606" s="380"/>
    </row>
    <row r="607" spans="1:9" ht="16.5">
      <c r="A607" s="18"/>
      <c r="B607" s="2590" t="s">
        <v>3422</v>
      </c>
      <c r="C607" s="98"/>
      <c r="D607" s="153">
        <f>D609+D610+D611+D612</f>
        <v>37251</v>
      </c>
      <c r="E607" s="155"/>
      <c r="F607" s="98"/>
      <c r="G607" s="2003">
        <f>G609+G610+G611+G612</f>
        <v>10132</v>
      </c>
      <c r="H607" s="380"/>
    </row>
    <row r="608" spans="1:9" ht="16.5">
      <c r="A608" s="18"/>
      <c r="B608" s="2590" t="s">
        <v>3423</v>
      </c>
      <c r="C608" s="98"/>
      <c r="D608" s="153">
        <f>D613+D614+D615+D616+D617+D618+D619</f>
        <v>37358.089999999997</v>
      </c>
      <c r="E608" s="155"/>
      <c r="F608" s="98"/>
      <c r="G608" s="2003">
        <f>G613+G614+G615+G616+G617+G618+G619</f>
        <v>1635</v>
      </c>
      <c r="H608" s="380"/>
      <c r="I608" s="10"/>
    </row>
    <row r="609" spans="1:8" ht="16.5">
      <c r="A609" s="18" t="s">
        <v>83</v>
      </c>
      <c r="B609" s="383" t="s">
        <v>2665</v>
      </c>
      <c r="C609" s="98">
        <f t="shared" si="23"/>
        <v>17275</v>
      </c>
      <c r="D609" s="99">
        <v>17275</v>
      </c>
      <c r="E609" s="155"/>
      <c r="F609" s="98">
        <f t="shared" si="24"/>
        <v>2000</v>
      </c>
      <c r="G609" s="109">
        <v>2000</v>
      </c>
      <c r="H609" s="380"/>
    </row>
    <row r="610" spans="1:8" ht="16.5">
      <c r="A610" s="18" t="s">
        <v>91</v>
      </c>
      <c r="B610" s="383" t="s">
        <v>2666</v>
      </c>
      <c r="C610" s="98">
        <f t="shared" si="23"/>
        <v>7357</v>
      </c>
      <c r="D610" s="99">
        <v>7357</v>
      </c>
      <c r="E610" s="155"/>
      <c r="F610" s="98">
        <f t="shared" si="24"/>
        <v>7200</v>
      </c>
      <c r="G610" s="109">
        <v>7200</v>
      </c>
      <c r="H610" s="380"/>
    </row>
    <row r="611" spans="1:8" ht="16.5">
      <c r="A611" s="19" t="s">
        <v>97</v>
      </c>
      <c r="B611" s="383" t="s">
        <v>2667</v>
      </c>
      <c r="C611" s="98">
        <f t="shared" si="23"/>
        <v>5000</v>
      </c>
      <c r="D611" s="99">
        <v>5000</v>
      </c>
      <c r="E611" s="155"/>
      <c r="F611" s="98">
        <f>G611</f>
        <v>0</v>
      </c>
      <c r="G611" s="109"/>
      <c r="H611" s="380"/>
    </row>
    <row r="612" spans="1:8" ht="16.5">
      <c r="A612" s="19" t="s">
        <v>770</v>
      </c>
      <c r="B612" s="383" t="s">
        <v>2668</v>
      </c>
      <c r="C612" s="98">
        <f>D612+E612</f>
        <v>7619</v>
      </c>
      <c r="D612" s="99">
        <v>7619</v>
      </c>
      <c r="E612" s="155"/>
      <c r="F612" s="98">
        <f>G612</f>
        <v>932</v>
      </c>
      <c r="G612" s="109">
        <v>932</v>
      </c>
      <c r="H612" s="380"/>
    </row>
    <row r="613" spans="1:8" ht="16.5">
      <c r="A613" s="18" t="s">
        <v>83</v>
      </c>
      <c r="B613" s="383" t="s">
        <v>2669</v>
      </c>
      <c r="C613" s="98">
        <f t="shared" si="23"/>
        <v>2200</v>
      </c>
      <c r="D613" s="99">
        <v>2200</v>
      </c>
      <c r="E613" s="155">
        <f>mo!L221</f>
        <v>0</v>
      </c>
      <c r="F613" s="98">
        <f t="shared" si="24"/>
        <v>0</v>
      </c>
      <c r="G613" s="109"/>
      <c r="H613" s="380">
        <f>mo!M221</f>
        <v>0</v>
      </c>
    </row>
    <row r="614" spans="1:8" ht="16.5">
      <c r="A614" s="18" t="s">
        <v>85</v>
      </c>
      <c r="B614" s="383" t="s">
        <v>2670</v>
      </c>
      <c r="C614" s="98">
        <f t="shared" si="23"/>
        <v>15650</v>
      </c>
      <c r="D614" s="99">
        <v>15650</v>
      </c>
      <c r="E614" s="155"/>
      <c r="F614" s="98">
        <f t="shared" si="24"/>
        <v>0</v>
      </c>
      <c r="G614" s="109"/>
      <c r="H614" s="155"/>
    </row>
    <row r="615" spans="1:8" ht="16.5">
      <c r="A615" s="283" t="s">
        <v>87</v>
      </c>
      <c r="B615" s="383" t="s">
        <v>2671</v>
      </c>
      <c r="C615" s="98">
        <f>D615+E615</f>
        <v>8088</v>
      </c>
      <c r="D615" s="99">
        <v>8088</v>
      </c>
      <c r="E615" s="126"/>
      <c r="F615" s="98">
        <f>G615</f>
        <v>0</v>
      </c>
      <c r="G615" s="109"/>
      <c r="H615" s="155">
        <f>mo!M222</f>
        <v>0</v>
      </c>
    </row>
    <row r="616" spans="1:8" ht="16.5">
      <c r="A616" s="283"/>
      <c r="B616" s="383" t="s">
        <v>3286</v>
      </c>
      <c r="C616" s="98">
        <f t="shared" ref="C616" si="25">D616+E616</f>
        <v>1000</v>
      </c>
      <c r="D616" s="99">
        <v>1000</v>
      </c>
      <c r="E616" s="126"/>
      <c r="F616" s="98">
        <f t="shared" si="24"/>
        <v>0</v>
      </c>
      <c r="G616" s="109"/>
      <c r="H616" s="155"/>
    </row>
    <row r="617" spans="1:8" ht="16.5">
      <c r="A617" s="18" t="s">
        <v>91</v>
      </c>
      <c r="B617" s="383" t="s">
        <v>2672</v>
      </c>
      <c r="C617" s="98">
        <f t="shared" si="23"/>
        <v>420</v>
      </c>
      <c r="D617" s="99">
        <v>420</v>
      </c>
      <c r="E617" s="126"/>
      <c r="F617" s="98">
        <f t="shared" si="24"/>
        <v>0</v>
      </c>
      <c r="G617" s="111"/>
      <c r="H617" s="126"/>
    </row>
    <row r="618" spans="1:8" ht="16.5">
      <c r="A618" s="19" t="s">
        <v>97</v>
      </c>
      <c r="B618" s="383" t="s">
        <v>2673</v>
      </c>
      <c r="C618" s="98">
        <f t="shared" si="23"/>
        <v>5000</v>
      </c>
      <c r="D618" s="99">
        <v>5000</v>
      </c>
      <c r="E618" s="1729"/>
      <c r="F618" s="98">
        <f t="shared" si="24"/>
        <v>0</v>
      </c>
      <c r="G618" s="111"/>
      <c r="H618" s="1779"/>
    </row>
    <row r="619" spans="1:8" ht="17.25" thickBot="1">
      <c r="A619" s="19" t="s">
        <v>770</v>
      </c>
      <c r="B619" s="521" t="s">
        <v>2674</v>
      </c>
      <c r="C619" s="113">
        <f t="shared" si="23"/>
        <v>5000.09</v>
      </c>
      <c r="D619" s="121">
        <v>5000.09</v>
      </c>
      <c r="E619" s="103"/>
      <c r="F619" s="113">
        <f>G619+H619</f>
        <v>1635</v>
      </c>
      <c r="G619" s="122">
        <v>1635</v>
      </c>
      <c r="H619" s="114"/>
    </row>
    <row r="620" spans="1:8" ht="17.25" thickBot="1">
      <c r="A620" s="381" t="s">
        <v>196</v>
      </c>
      <c r="B620" s="35" t="s">
        <v>3420</v>
      </c>
      <c r="C620" s="104">
        <f t="shared" ref="C620:C635" si="26">D620+E620</f>
        <v>401700</v>
      </c>
      <c r="D620" s="129">
        <f>SUM(D621:D626)</f>
        <v>291700</v>
      </c>
      <c r="E620" s="106">
        <f>SUM(E621:E626)</f>
        <v>110000</v>
      </c>
      <c r="F620" s="104">
        <f t="shared" ref="F620:F629" si="27">G620+H620</f>
        <v>31400</v>
      </c>
      <c r="G620" s="107">
        <f>SUM(G621:G626)</f>
        <v>6000</v>
      </c>
      <c r="H620" s="168">
        <f>SUM(H621:H626)</f>
        <v>25400</v>
      </c>
    </row>
    <row r="621" spans="1:8" ht="16.5">
      <c r="A621" s="18" t="s">
        <v>85</v>
      </c>
      <c r="B621" s="34" t="s">
        <v>2675</v>
      </c>
      <c r="C621" s="151">
        <f t="shared" si="26"/>
        <v>96400</v>
      </c>
      <c r="D621" s="96">
        <v>66400</v>
      </c>
      <c r="E621" s="97">
        <f>mo!L224</f>
        <v>30000</v>
      </c>
      <c r="F621" s="151">
        <f t="shared" si="27"/>
        <v>20000</v>
      </c>
      <c r="G621" s="109"/>
      <c r="H621" s="97">
        <f>mo!M224</f>
        <v>20000</v>
      </c>
    </row>
    <row r="622" spans="1:8" ht="16.5">
      <c r="A622" s="18" t="s">
        <v>89</v>
      </c>
      <c r="B622" s="34" t="s">
        <v>2676</v>
      </c>
      <c r="C622" s="770">
        <f>D622+E622</f>
        <v>0</v>
      </c>
      <c r="D622" s="96"/>
      <c r="E622" s="97"/>
      <c r="F622" s="599">
        <f t="shared" si="27"/>
        <v>0</v>
      </c>
      <c r="G622" s="109"/>
      <c r="H622" s="173"/>
    </row>
    <row r="623" spans="1:8" ht="16.5">
      <c r="A623" s="18" t="s">
        <v>95</v>
      </c>
      <c r="B623" s="34" t="s">
        <v>2677</v>
      </c>
      <c r="C623" s="98">
        <f t="shared" si="26"/>
        <v>44800</v>
      </c>
      <c r="D623" s="96">
        <v>14800</v>
      </c>
      <c r="E623" s="97">
        <f>mo!L225</f>
        <v>30000</v>
      </c>
      <c r="F623" s="599">
        <f t="shared" si="27"/>
        <v>2200</v>
      </c>
      <c r="G623" s="109"/>
      <c r="H623" s="152">
        <f>mo!M225</f>
        <v>2200</v>
      </c>
    </row>
    <row r="624" spans="1:8" ht="16.5">
      <c r="A624" s="18" t="s">
        <v>91</v>
      </c>
      <c r="B624" s="34" t="s">
        <v>2678</v>
      </c>
      <c r="C624" s="98">
        <f t="shared" si="26"/>
        <v>146700</v>
      </c>
      <c r="D624" s="96">
        <v>110700</v>
      </c>
      <c r="E624" s="97">
        <f>mo!L226</f>
        <v>36000</v>
      </c>
      <c r="F624" s="599">
        <f t="shared" si="27"/>
        <v>2700</v>
      </c>
      <c r="G624" s="109"/>
      <c r="H624" s="152">
        <f>mo!M226</f>
        <v>2700</v>
      </c>
    </row>
    <row r="625" spans="1:8" ht="16.5">
      <c r="A625" s="19" t="s">
        <v>97</v>
      </c>
      <c r="B625" s="34" t="s">
        <v>2679</v>
      </c>
      <c r="C625" s="98">
        <f t="shared" si="26"/>
        <v>98800</v>
      </c>
      <c r="D625" s="99">
        <v>88800</v>
      </c>
      <c r="E625" s="100">
        <f>mo!L227</f>
        <v>10000</v>
      </c>
      <c r="F625" s="542">
        <f t="shared" si="27"/>
        <v>0</v>
      </c>
      <c r="G625" s="111"/>
      <c r="H625" s="173">
        <f>mo!M235</f>
        <v>0</v>
      </c>
    </row>
    <row r="626" spans="1:8" ht="17.25" thickBot="1">
      <c r="A626" s="19" t="s">
        <v>100</v>
      </c>
      <c r="B626" s="34" t="s">
        <v>2680</v>
      </c>
      <c r="C626" s="113">
        <f t="shared" si="26"/>
        <v>15000</v>
      </c>
      <c r="D626" s="121">
        <v>11000</v>
      </c>
      <c r="E626" s="114">
        <f>mo!L228</f>
        <v>4000</v>
      </c>
      <c r="F626" s="113">
        <f t="shared" si="27"/>
        <v>6500</v>
      </c>
      <c r="G626" s="122">
        <v>6000</v>
      </c>
      <c r="H626" s="370">
        <f>mo!M228</f>
        <v>500</v>
      </c>
    </row>
    <row r="627" spans="1:8" ht="30.75" thickBot="1">
      <c r="A627" s="1516" t="s">
        <v>1586</v>
      </c>
      <c r="B627" s="428" t="s">
        <v>3421</v>
      </c>
      <c r="C627" s="150">
        <f>D627+E627</f>
        <v>362500</v>
      </c>
      <c r="D627" s="105"/>
      <c r="E627" s="106">
        <f>SUM(D628:E633)</f>
        <v>362500</v>
      </c>
      <c r="F627" s="150">
        <f t="shared" si="27"/>
        <v>80448</v>
      </c>
      <c r="G627" s="107">
        <f>G629</f>
        <v>0</v>
      </c>
      <c r="H627" s="128">
        <f>SUM(H628:H633)</f>
        <v>80448</v>
      </c>
    </row>
    <row r="628" spans="1:8" ht="16.5">
      <c r="A628" s="1514" t="s">
        <v>85</v>
      </c>
      <c r="B628" s="757" t="s">
        <v>2753</v>
      </c>
      <c r="C628" s="1515">
        <f>E628</f>
        <v>25000</v>
      </c>
      <c r="D628" s="96"/>
      <c r="E628" s="97">
        <f>mo!L232</f>
        <v>25000</v>
      </c>
      <c r="F628" s="1515">
        <f>H628</f>
        <v>15000</v>
      </c>
      <c r="G628" s="109"/>
      <c r="H628" s="97">
        <f>mo!M232</f>
        <v>15000</v>
      </c>
    </row>
    <row r="629" spans="1:8" ht="16.5">
      <c r="A629" s="18" t="s">
        <v>91</v>
      </c>
      <c r="B629" s="43" t="s">
        <v>2754</v>
      </c>
      <c r="C629" s="98">
        <f>-D629+E629</f>
        <v>217500</v>
      </c>
      <c r="D629" s="99"/>
      <c r="E629" s="100">
        <f>mo!L233</f>
        <v>217500</v>
      </c>
      <c r="F629" s="98">
        <f t="shared" si="27"/>
        <v>60248</v>
      </c>
      <c r="G629" s="111"/>
      <c r="H629" s="100">
        <f>mo!M233</f>
        <v>60248</v>
      </c>
    </row>
    <row r="630" spans="1:8" ht="16.5">
      <c r="A630" s="18" t="s">
        <v>95</v>
      </c>
      <c r="B630" s="43" t="s">
        <v>2756</v>
      </c>
      <c r="C630" s="98">
        <f>E630</f>
        <v>40000</v>
      </c>
      <c r="D630" s="99"/>
      <c r="E630" s="100">
        <f>mo!L234</f>
        <v>40000</v>
      </c>
      <c r="F630" s="98">
        <f>H630</f>
        <v>5200</v>
      </c>
      <c r="G630" s="111"/>
      <c r="H630" s="100">
        <f>mo!M234</f>
        <v>5200</v>
      </c>
    </row>
    <row r="631" spans="1:8" ht="16.5">
      <c r="A631" s="19" t="s">
        <v>97</v>
      </c>
      <c r="B631" s="43" t="s">
        <v>2755</v>
      </c>
      <c r="C631" s="98">
        <f>E631</f>
        <v>18000</v>
      </c>
      <c r="D631" s="99"/>
      <c r="E631" s="100">
        <f>mo!L235</f>
        <v>18000</v>
      </c>
      <c r="F631" s="98">
        <f>H631</f>
        <v>0</v>
      </c>
      <c r="G631" s="111"/>
      <c r="H631" s="100">
        <f>mo!M235</f>
        <v>0</v>
      </c>
    </row>
    <row r="632" spans="1:8" ht="16.5">
      <c r="A632" s="19"/>
      <c r="B632" s="757" t="s">
        <v>2818</v>
      </c>
      <c r="C632" s="98">
        <f>E632</f>
        <v>10000</v>
      </c>
      <c r="D632" s="102"/>
      <c r="E632" s="103">
        <f>mo!L236</f>
        <v>10000</v>
      </c>
      <c r="F632" s="98">
        <f>H632</f>
        <v>0</v>
      </c>
      <c r="G632" s="115"/>
      <c r="H632" s="103">
        <f>mo!M236</f>
        <v>0</v>
      </c>
    </row>
    <row r="633" spans="1:8" ht="17.25" thickBot="1">
      <c r="A633" s="19" t="s">
        <v>770</v>
      </c>
      <c r="B633" s="757" t="s">
        <v>2757</v>
      </c>
      <c r="C633" s="149">
        <f>E633</f>
        <v>52000</v>
      </c>
      <c r="D633" s="102"/>
      <c r="E633" s="103">
        <f>mo!L237</f>
        <v>52000</v>
      </c>
      <c r="F633" s="149">
        <f>H633</f>
        <v>0</v>
      </c>
      <c r="G633" s="115"/>
      <c r="H633" s="103">
        <f>mo!M237</f>
        <v>0</v>
      </c>
    </row>
    <row r="634" spans="1:8" ht="32.25" thickBot="1">
      <c r="A634" s="1517" t="s">
        <v>126</v>
      </c>
      <c r="B634" s="33" t="s">
        <v>753</v>
      </c>
      <c r="C634" s="150">
        <f t="shared" si="26"/>
        <v>216500</v>
      </c>
      <c r="D634" s="107">
        <f>D635</f>
        <v>216500</v>
      </c>
      <c r="E634" s="106">
        <f>E635</f>
        <v>0</v>
      </c>
      <c r="F634" s="150">
        <f>G634+H634</f>
        <v>0</v>
      </c>
      <c r="G634" s="107">
        <f>G635</f>
        <v>0</v>
      </c>
      <c r="H634" s="1518">
        <f>H635</f>
        <v>0</v>
      </c>
    </row>
    <row r="635" spans="1:8" ht="17.25" thickBot="1">
      <c r="A635" s="278" t="s">
        <v>93</v>
      </c>
      <c r="B635" s="36" t="s">
        <v>763</v>
      </c>
      <c r="C635" s="113">
        <f t="shared" si="26"/>
        <v>216500</v>
      </c>
      <c r="D635" s="121">
        <v>216500</v>
      </c>
      <c r="E635" s="114">
        <f>mo!L239</f>
        <v>0</v>
      </c>
      <c r="F635" s="113">
        <f>G635+H635</f>
        <v>0</v>
      </c>
      <c r="G635" s="122"/>
      <c r="H635" s="131">
        <f>mo!M239</f>
        <v>0</v>
      </c>
    </row>
    <row r="636" spans="1:8" ht="17.25" thickBot="1">
      <c r="A636" s="279" t="s">
        <v>69</v>
      </c>
      <c r="B636" s="494" t="s">
        <v>1406</v>
      </c>
      <c r="C636" s="104"/>
      <c r="D636" s="129">
        <f>D637</f>
        <v>6424200</v>
      </c>
      <c r="E636" s="106">
        <f>E637</f>
        <v>4681000</v>
      </c>
      <c r="F636" s="104"/>
      <c r="G636" s="107">
        <f>G637</f>
        <v>80000</v>
      </c>
      <c r="H636" s="120">
        <f>H637</f>
        <v>865038.1</v>
      </c>
    </row>
    <row r="637" spans="1:8" ht="27" thickBot="1">
      <c r="A637" s="548" t="s">
        <v>997</v>
      </c>
      <c r="B637" s="549" t="s">
        <v>3428</v>
      </c>
      <c r="C637" s="101"/>
      <c r="D637" s="1197">
        <v>6424200</v>
      </c>
      <c r="E637" s="650">
        <f>mo!L240</f>
        <v>4681000</v>
      </c>
      <c r="F637" s="101"/>
      <c r="G637" s="645">
        <v>80000</v>
      </c>
      <c r="H637" s="190">
        <f>mo!M240</f>
        <v>865038.1</v>
      </c>
    </row>
    <row r="638" spans="1:8" ht="17.25" thickBot="1">
      <c r="A638" s="284" t="s">
        <v>212</v>
      </c>
      <c r="B638" s="62" t="s">
        <v>213</v>
      </c>
      <c r="C638" s="171">
        <f>C133+C242+C252+C309+C351+C397+C493+C550+C562+C620+C634+C627</f>
        <v>327381610.15999997</v>
      </c>
      <c r="D638" s="171">
        <f>D133+D252+D309+D351+D397+D493+D550+D562+D620+D634+D636</f>
        <v>274109160.15999997</v>
      </c>
      <c r="E638" s="171">
        <f>E133+E252+E309+E351+E397+E493+E550+E562+E242+E627+E636+E634+E620</f>
        <v>64377650</v>
      </c>
      <c r="F638" s="171">
        <f>F133+F242+F252+F309+F351+F397+F493+F550+F562+F620+F634+F627</f>
        <v>81229203.209999993</v>
      </c>
      <c r="G638" s="171">
        <f>G133+G242+G252+G309+G351+G397+G493+G550+G562+G620+G634+G636</f>
        <v>71087000.090000004</v>
      </c>
      <c r="H638" s="171">
        <f>H133+H242+H252+H309+H351+H397+H493+H550+H562+H620+H627+H636</f>
        <v>11087241.220000001</v>
      </c>
    </row>
    <row r="639" spans="1:8" ht="26.25">
      <c r="A639" s="624" t="s">
        <v>214</v>
      </c>
      <c r="B639" s="63" t="s">
        <v>215</v>
      </c>
      <c r="C639" s="172">
        <f t="shared" ref="C639:H639" si="28">C123-C638</f>
        <v>-3043910.1599999666</v>
      </c>
      <c r="D639" s="172">
        <f t="shared" si="28"/>
        <v>-2554960.1599999666</v>
      </c>
      <c r="E639" s="172">
        <f t="shared" si="28"/>
        <v>-488950</v>
      </c>
      <c r="F639" s="172">
        <f t="shared" si="28"/>
        <v>2959682.75</v>
      </c>
      <c r="G639" s="172">
        <f t="shared" si="28"/>
        <v>352307.26000000536</v>
      </c>
      <c r="H639" s="172">
        <f t="shared" si="28"/>
        <v>2607375.4899999984</v>
      </c>
    </row>
    <row r="640" spans="1:8" ht="16.5">
      <c r="A640" s="627"/>
      <c r="B640" s="628"/>
      <c r="C640" s="629" t="s">
        <v>1447</v>
      </c>
      <c r="D640" s="629" t="s">
        <v>1444</v>
      </c>
      <c r="E640" s="629" t="s">
        <v>1447</v>
      </c>
      <c r="F640" s="629" t="s">
        <v>1445</v>
      </c>
      <c r="G640" s="629" t="s">
        <v>1445</v>
      </c>
      <c r="H640" s="629" t="s">
        <v>1445</v>
      </c>
    </row>
    <row r="641" spans="1:9" ht="16.5">
      <c r="A641" s="625" t="s">
        <v>50</v>
      </c>
      <c r="B641" s="631" t="s">
        <v>2759</v>
      </c>
      <c r="C641" s="291">
        <f>D641+E641</f>
        <v>11105200</v>
      </c>
      <c r="D641" s="626">
        <f>D636</f>
        <v>6424200</v>
      </c>
      <c r="E641" s="626">
        <f>E637</f>
        <v>4681000</v>
      </c>
      <c r="F641" s="291">
        <f>G641+H641</f>
        <v>945038.1</v>
      </c>
      <c r="G641" s="626">
        <f>G636</f>
        <v>80000</v>
      </c>
      <c r="H641" s="626">
        <f>H636</f>
        <v>865038.1</v>
      </c>
    </row>
    <row r="642" spans="1:9" ht="16.5">
      <c r="A642" s="302"/>
      <c r="B642" s="630"/>
      <c r="C642" s="300"/>
      <c r="D642" s="266" t="s">
        <v>2112</v>
      </c>
      <c r="E642" s="301"/>
      <c r="F642" s="300"/>
      <c r="G642" s="266" t="s">
        <v>2113</v>
      </c>
      <c r="H642" s="301"/>
    </row>
    <row r="643" spans="1:9" ht="26.25">
      <c r="A643" s="286" t="s">
        <v>837</v>
      </c>
      <c r="B643" s="263" t="s">
        <v>215</v>
      </c>
      <c r="C643" s="264"/>
      <c r="D643" s="303">
        <f>D128-D645</f>
        <v>-811760.15999996662</v>
      </c>
      <c r="E643" s="265"/>
      <c r="F643" s="264"/>
      <c r="G643" s="303">
        <f>G128-G645</f>
        <v>-432730.83999998868</v>
      </c>
      <c r="H643" s="265"/>
    </row>
    <row r="644" spans="1:9" ht="16.5">
      <c r="A644" s="297"/>
      <c r="B644" s="298"/>
      <c r="C644" s="113"/>
      <c r="D644" s="299" t="s">
        <v>2110</v>
      </c>
      <c r="E644" s="299"/>
      <c r="F644" s="113"/>
      <c r="G644" s="299" t="s">
        <v>2111</v>
      </c>
      <c r="H644" s="299"/>
    </row>
    <row r="645" spans="1:9" ht="32.25" thickBot="1">
      <c r="A645" s="297"/>
      <c r="B645" s="362" t="s">
        <v>212</v>
      </c>
      <c r="C645" s="363" t="s">
        <v>1674</v>
      </c>
      <c r="D645" s="360">
        <f>D638-D641</f>
        <v>267684960.15999997</v>
      </c>
      <c r="E645" s="360"/>
      <c r="F645" s="358"/>
      <c r="G645" s="360">
        <f>G638-G641</f>
        <v>71007000.090000004</v>
      </c>
      <c r="H645" s="299"/>
    </row>
    <row r="646" spans="1:9" ht="16.5">
      <c r="A646" s="2672" t="s">
        <v>74</v>
      </c>
      <c r="B646" s="2674" t="s">
        <v>216</v>
      </c>
      <c r="C646" s="2668" t="s">
        <v>2043</v>
      </c>
      <c r="D646" s="2669"/>
      <c r="E646" s="2670"/>
      <c r="F646" s="2668" t="s">
        <v>1016</v>
      </c>
      <c r="G646" s="2669"/>
      <c r="H646" s="2671"/>
    </row>
    <row r="647" spans="1:9" ht="66">
      <c r="A647" s="2680"/>
      <c r="B647" s="2661"/>
      <c r="C647" s="90" t="s">
        <v>2075</v>
      </c>
      <c r="D647" s="91" t="s">
        <v>1018</v>
      </c>
      <c r="E647" s="92" t="s">
        <v>1021</v>
      </c>
      <c r="F647" s="90" t="s">
        <v>2075</v>
      </c>
      <c r="G647" s="91" t="s">
        <v>1018</v>
      </c>
      <c r="H647" s="328" t="s">
        <v>1021</v>
      </c>
    </row>
    <row r="648" spans="1:9" ht="17.25" thickBot="1">
      <c r="A648" s="313"/>
      <c r="B648" s="314"/>
      <c r="C648" s="330" t="s">
        <v>1441</v>
      </c>
      <c r="D648" s="330">
        <v>11</v>
      </c>
      <c r="E648" s="331">
        <v>12</v>
      </c>
      <c r="F648" s="330" t="s">
        <v>1442</v>
      </c>
      <c r="G648" s="330">
        <v>21</v>
      </c>
      <c r="H648" s="332">
        <v>22</v>
      </c>
    </row>
    <row r="649" spans="1:9" ht="43.5">
      <c r="A649" s="322" t="s">
        <v>1010</v>
      </c>
      <c r="B649" s="366" t="s">
        <v>998</v>
      </c>
      <c r="C649" s="323">
        <f t="shared" ref="C649:C654" si="29">D649+E649</f>
        <v>6036000</v>
      </c>
      <c r="D649" s="544">
        <v>6036000</v>
      </c>
      <c r="E649" s="152"/>
      <c r="F649" s="323">
        <f t="shared" ref="F649:F654" si="30">G649+H649</f>
        <v>0</v>
      </c>
      <c r="G649" s="324"/>
      <c r="H649" s="325"/>
    </row>
    <row r="650" spans="1:9" ht="43.5">
      <c r="A650" s="287" t="s">
        <v>1011</v>
      </c>
      <c r="B650" s="61" t="s">
        <v>999</v>
      </c>
      <c r="C650" s="80">
        <f t="shared" si="29"/>
        <v>0</v>
      </c>
      <c r="D650" s="99"/>
      <c r="E650" s="173">
        <f>mo!L247</f>
        <v>0</v>
      </c>
      <c r="F650" s="80">
        <f t="shared" si="30"/>
        <v>0</v>
      </c>
      <c r="G650" s="174"/>
      <c r="H650" s="82"/>
    </row>
    <row r="651" spans="1:9" ht="51.75">
      <c r="A651" s="288" t="s">
        <v>2152</v>
      </c>
      <c r="B651" s="365" t="s">
        <v>2870</v>
      </c>
      <c r="C651" s="80">
        <f t="shared" si="29"/>
        <v>0</v>
      </c>
      <c r="D651" s="99"/>
      <c r="E651" s="173"/>
      <c r="F651" s="80">
        <f t="shared" si="30"/>
        <v>0</v>
      </c>
      <c r="G651" s="81"/>
      <c r="H651" s="112"/>
      <c r="I651" s="578"/>
    </row>
    <row r="652" spans="1:9" ht="51.75">
      <c r="A652" s="288" t="s">
        <v>2084</v>
      </c>
      <c r="B652" s="61" t="s">
        <v>1002</v>
      </c>
      <c r="C652" s="80">
        <f t="shared" si="29"/>
        <v>0</v>
      </c>
      <c r="D652" s="99"/>
      <c r="E652" s="173">
        <f>mo!L248</f>
        <v>0</v>
      </c>
      <c r="F652" s="80">
        <f t="shared" si="30"/>
        <v>0</v>
      </c>
      <c r="G652" s="81"/>
      <c r="H652" s="112">
        <f>mo!M248</f>
        <v>0</v>
      </c>
    </row>
    <row r="653" spans="1:9" ht="51.75">
      <c r="A653" s="288" t="s">
        <v>1456</v>
      </c>
      <c r="B653" s="365" t="s">
        <v>2871</v>
      </c>
      <c r="C653" s="80">
        <f t="shared" si="29"/>
        <v>-4636000</v>
      </c>
      <c r="D653" s="99">
        <f>-3898000+(-738000)</f>
        <v>-4636000</v>
      </c>
      <c r="E653" s="173"/>
      <c r="F653" s="80">
        <f t="shared" si="30"/>
        <v>0</v>
      </c>
      <c r="G653" s="646"/>
      <c r="H653" s="112"/>
    </row>
    <row r="654" spans="1:9" ht="38.25">
      <c r="A654" s="319" t="s">
        <v>1457</v>
      </c>
      <c r="B654" s="61" t="s">
        <v>1003</v>
      </c>
      <c r="C654" s="80">
        <f t="shared" si="29"/>
        <v>0</v>
      </c>
      <c r="D654" s="81"/>
      <c r="E654" s="175">
        <f>mo!L249</f>
        <v>0</v>
      </c>
      <c r="F654" s="80">
        <f t="shared" si="30"/>
        <v>0</v>
      </c>
      <c r="G654" s="81"/>
      <c r="H654" s="112">
        <f>mo!M249</f>
        <v>0</v>
      </c>
    </row>
    <row r="655" spans="1:9" ht="26.25">
      <c r="A655" s="288" t="s">
        <v>1458</v>
      </c>
      <c r="B655" s="61" t="s">
        <v>1004</v>
      </c>
      <c r="C655" s="80">
        <f>C656+C657+C658+C659</f>
        <v>1643910.1599999666</v>
      </c>
      <c r="D655" s="176">
        <f>D656+D658</f>
        <v>1154960.1599999666</v>
      </c>
      <c r="E655" s="177">
        <f>mo!L251</f>
        <v>488950</v>
      </c>
      <c r="F655" s="80">
        <f>(F656+F657)+(F658+F659)</f>
        <v>-2959982.7500000149</v>
      </c>
      <c r="G655" s="178">
        <f>G656+G658</f>
        <v>-352307.26000000536</v>
      </c>
      <c r="H655" s="82">
        <f>mo!M251</f>
        <v>-2607675.4899999984</v>
      </c>
      <c r="I655">
        <v>1</v>
      </c>
    </row>
    <row r="656" spans="1:9" ht="26.25">
      <c r="A656" s="288" t="s">
        <v>1662</v>
      </c>
      <c r="B656" s="365" t="s">
        <v>1005</v>
      </c>
      <c r="C656" s="291">
        <f>D656-C662</f>
        <v>-272909200</v>
      </c>
      <c r="D656" s="81">
        <f>-(D123+D649+D651)</f>
        <v>-277590200</v>
      </c>
      <c r="E656" s="175"/>
      <c r="F656" s="291">
        <f>G656</f>
        <v>-72345732.750000015</v>
      </c>
      <c r="G656" s="81">
        <f>-(G123+G649+G651)+(-650407.81)+(-256017.59)</f>
        <v>-72345732.750000015</v>
      </c>
      <c r="H656" s="112"/>
    </row>
    <row r="657" spans="1:11" ht="26.25">
      <c r="A657" s="288" t="s">
        <v>1459</v>
      </c>
      <c r="B657" s="61" t="s">
        <v>1006</v>
      </c>
      <c r="C657" s="80">
        <f>E657-C663</f>
        <v>-57464500</v>
      </c>
      <c r="D657" s="81"/>
      <c r="E657" s="173">
        <f>mo!L252</f>
        <v>-63888700</v>
      </c>
      <c r="F657" s="80">
        <f>H657</f>
        <v>-13980401.009999998</v>
      </c>
      <c r="G657" s="178"/>
      <c r="H657" s="112">
        <f>mo!M252</f>
        <v>-13980401.009999998</v>
      </c>
    </row>
    <row r="658" spans="1:11" ht="26.25">
      <c r="A658" s="288" t="s">
        <v>1663</v>
      </c>
      <c r="B658" s="365" t="s">
        <v>1007</v>
      </c>
      <c r="C658" s="291">
        <f>D658-C664</f>
        <v>272320960.15999997</v>
      </c>
      <c r="D658" s="81">
        <f>D638-D653</f>
        <v>278745160.15999997</v>
      </c>
      <c r="E658" s="175"/>
      <c r="F658" s="291">
        <f>G658</f>
        <v>71993425.49000001</v>
      </c>
      <c r="G658" s="81">
        <f>G638-G653+650407.81+256017.59</f>
        <v>71993425.49000001</v>
      </c>
      <c r="H658" s="82"/>
    </row>
    <row r="659" spans="1:11" ht="16.5" customHeight="1">
      <c r="A659" s="288" t="s">
        <v>1462</v>
      </c>
      <c r="B659" s="61" t="s">
        <v>1008</v>
      </c>
      <c r="C659" s="80">
        <f>E659-C665</f>
        <v>59696650</v>
      </c>
      <c r="D659" s="81"/>
      <c r="E659" s="173">
        <f>mo!L253</f>
        <v>64377650</v>
      </c>
      <c r="F659" s="80">
        <f>H659</f>
        <v>11372725.520000001</v>
      </c>
      <c r="G659" s="178"/>
      <c r="H659" s="82">
        <f>mo!M253</f>
        <v>11372725.520000001</v>
      </c>
    </row>
    <row r="660" spans="1:11" ht="69" customHeight="1">
      <c r="A660" s="289" t="s">
        <v>2083</v>
      </c>
      <c r="B660" s="202" t="s">
        <v>1009</v>
      </c>
      <c r="C660" s="179">
        <f>C649+C650+C653+C654+C656+C657+C658+C659+C651</f>
        <v>3043910.1599999666</v>
      </c>
      <c r="D660" s="179">
        <f>D649+D651+D653+D655</f>
        <v>2554960.1599999666</v>
      </c>
      <c r="E660" s="180">
        <f>mo!L255</f>
        <v>488950</v>
      </c>
      <c r="F660" s="179">
        <f>F649+F650+F653+F654+F656+F657+F658+F659+F651</f>
        <v>-2959982.7500000093</v>
      </c>
      <c r="G660" s="179">
        <f>G649+G651+G653+G655</f>
        <v>-352307.26000000536</v>
      </c>
      <c r="H660" s="179">
        <f>mo!M255</f>
        <v>-2607675.4899999984</v>
      </c>
    </row>
    <row r="661" spans="1:11" ht="16.5">
      <c r="A661" s="632"/>
      <c r="B661" s="572"/>
      <c r="C661" s="573" t="s">
        <v>1445</v>
      </c>
      <c r="D661" s="573" t="s">
        <v>1444</v>
      </c>
      <c r="E661" s="633" t="s">
        <v>1447</v>
      </c>
      <c r="F661" s="573" t="s">
        <v>1445</v>
      </c>
      <c r="G661" s="573" t="s">
        <v>1445</v>
      </c>
      <c r="H661" s="573" t="s">
        <v>1446</v>
      </c>
    </row>
    <row r="662" spans="1:11" ht="16.5">
      <c r="A662" s="571" t="s">
        <v>1448</v>
      </c>
      <c r="B662" s="365" t="s">
        <v>1005</v>
      </c>
      <c r="C662" s="573">
        <f>D662+E662</f>
        <v>-4681000</v>
      </c>
      <c r="D662" s="573">
        <f>-D126</f>
        <v>-4681000</v>
      </c>
      <c r="E662" s="573"/>
      <c r="F662" s="573">
        <f>G662+H662</f>
        <v>-865038.1</v>
      </c>
      <c r="G662" s="573">
        <f>-G126</f>
        <v>-865038.1</v>
      </c>
      <c r="H662" s="573"/>
    </row>
    <row r="663" spans="1:11" ht="16.5">
      <c r="A663" s="571" t="s">
        <v>1449</v>
      </c>
      <c r="B663" s="61" t="s">
        <v>1006</v>
      </c>
      <c r="C663" s="573">
        <f>D663+E663</f>
        <v>-6424200</v>
      </c>
      <c r="D663" s="573"/>
      <c r="E663" s="573">
        <f>-E125</f>
        <v>-6424200</v>
      </c>
      <c r="F663" s="573">
        <f>G663+H663</f>
        <v>-80000</v>
      </c>
      <c r="G663" s="573"/>
      <c r="H663" s="573">
        <f>-H125</f>
        <v>-80000</v>
      </c>
    </row>
    <row r="664" spans="1:11" ht="16.5">
      <c r="A664" s="571" t="s">
        <v>1449</v>
      </c>
      <c r="B664" s="365" t="s">
        <v>1007</v>
      </c>
      <c r="C664" s="573">
        <f>D664+E664</f>
        <v>6424200</v>
      </c>
      <c r="D664" s="573">
        <f>D641</f>
        <v>6424200</v>
      </c>
      <c r="E664" s="573"/>
      <c r="F664" s="573">
        <f>G664+H664</f>
        <v>80000</v>
      </c>
      <c r="G664" s="573">
        <f>G641</f>
        <v>80000</v>
      </c>
      <c r="H664" s="573"/>
      <c r="K664" s="2601"/>
    </row>
    <row r="665" spans="1:11" ht="16.5">
      <c r="A665" s="571" t="s">
        <v>1449</v>
      </c>
      <c r="B665" s="61" t="s">
        <v>1008</v>
      </c>
      <c r="C665" s="573">
        <f>D665+E665</f>
        <v>4681000</v>
      </c>
      <c r="D665" s="573"/>
      <c r="E665" s="573">
        <f>E641</f>
        <v>4681000</v>
      </c>
      <c r="F665" s="573">
        <f>G665+H665</f>
        <v>865038.1</v>
      </c>
      <c r="G665" s="573"/>
      <c r="H665" s="573">
        <f>H641</f>
        <v>865038.1</v>
      </c>
    </row>
    <row r="666" spans="1:11" ht="14.25">
      <c r="A666"/>
      <c r="B666"/>
      <c r="C666"/>
      <c r="D666" s="367" t="s">
        <v>1441</v>
      </c>
      <c r="E666"/>
      <c r="F666" s="20" t="s">
        <v>1442</v>
      </c>
      <c r="G666" s="65">
        <f>G668-G667</f>
        <v>-352307.26</v>
      </c>
      <c r="H666" s="65">
        <f>H668-H667</f>
        <v>-2607675.4899999998</v>
      </c>
      <c r="I666">
        <v>1</v>
      </c>
    </row>
    <row r="667" spans="1:11" ht="20.25">
      <c r="A667" s="64" t="s">
        <v>836</v>
      </c>
      <c r="B667"/>
      <c r="C667"/>
      <c r="D667" s="644">
        <f>C649+C653+C656+C658</f>
        <v>811760.15999996662</v>
      </c>
      <c r="E667"/>
      <c r="F667" s="644">
        <f>F649+F653+F656+F658</f>
        <v>-352307.26000000536</v>
      </c>
      <c r="G667" s="248">
        <v>1507026.9</v>
      </c>
      <c r="H667" s="65">
        <f>mo!M263</f>
        <v>5229751.3499999996</v>
      </c>
      <c r="I667" s="1695"/>
    </row>
    <row r="668" spans="1:11" ht="14.25">
      <c r="A668" s="64" t="s">
        <v>852</v>
      </c>
      <c r="B668"/>
      <c r="C668" t="s">
        <v>771</v>
      </c>
      <c r="D668"/>
      <c r="E668"/>
      <c r="F668"/>
      <c r="G668" s="65">
        <v>1154719.6399999999</v>
      </c>
      <c r="H668" s="65">
        <f>mo!M264</f>
        <v>2622075.86</v>
      </c>
    </row>
    <row r="669" spans="1:11" ht="15">
      <c r="A669" s="64" t="s">
        <v>783</v>
      </c>
      <c r="B669"/>
      <c r="C669"/>
      <c r="D669"/>
      <c r="E669"/>
      <c r="F669" s="248"/>
      <c r="G669" s="258"/>
      <c r="H669" s="248"/>
    </row>
    <row r="670" spans="1:11" ht="15">
      <c r="A670" s="72" t="s">
        <v>67</v>
      </c>
      <c r="B670" s="11"/>
      <c r="C670" s="11"/>
      <c r="D670" s="75" t="s">
        <v>768</v>
      </c>
      <c r="E670" s="565"/>
      <c r="F670" s="256"/>
      <c r="G670" s="14" t="s">
        <v>778</v>
      </c>
      <c r="H670" s="4"/>
    </row>
    <row r="671" spans="1:11" ht="14.25">
      <c r="A671" s="72" t="s">
        <v>983</v>
      </c>
      <c r="B671" s="11"/>
      <c r="C671" s="11"/>
      <c r="D671" s="75" t="s">
        <v>2876</v>
      </c>
      <c r="E671" s="13"/>
      <c r="F671" s="13"/>
      <c r="H671" t="s">
        <v>1292</v>
      </c>
    </row>
    <row r="672" spans="1:11">
      <c r="A672" s="73"/>
      <c r="B672" s="73"/>
      <c r="C672" s="73"/>
      <c r="D672" s="13"/>
      <c r="E672" s="13"/>
      <c r="F672" s="13"/>
    </row>
    <row r="673" spans="1:7" ht="12.75">
      <c r="A673" s="72" t="s">
        <v>68</v>
      </c>
      <c r="B673" s="11"/>
      <c r="C673" s="11"/>
      <c r="D673" s="76" t="s">
        <v>769</v>
      </c>
      <c r="E673" s="13"/>
      <c r="F673" s="13"/>
    </row>
    <row r="675" spans="1:7" ht="15">
      <c r="B675" s="1186"/>
      <c r="D675" s="257"/>
      <c r="E675" s="257"/>
      <c r="F675" s="257"/>
      <c r="G675" s="257"/>
    </row>
    <row r="676" spans="1:7" ht="15">
      <c r="B676" s="1186"/>
      <c r="D676" s="257"/>
      <c r="E676" s="257"/>
      <c r="F676" s="257"/>
      <c r="G676" s="257"/>
    </row>
    <row r="679" spans="1:7" ht="15">
      <c r="D679" s="257"/>
    </row>
  </sheetData>
  <mergeCells count="16">
    <mergeCell ref="C646:E646"/>
    <mergeCell ref="F646:H646"/>
    <mergeCell ref="A130:A131"/>
    <mergeCell ref="B130:B131"/>
    <mergeCell ref="C130:E130"/>
    <mergeCell ref="F130:H130"/>
    <mergeCell ref="A646:A647"/>
    <mergeCell ref="B646:B647"/>
    <mergeCell ref="A7:G7"/>
    <mergeCell ref="A11:G11"/>
    <mergeCell ref="A14:A15"/>
    <mergeCell ref="B14:B15"/>
    <mergeCell ref="C14:E14"/>
    <mergeCell ref="F14:H14"/>
    <mergeCell ref="A8:E8"/>
    <mergeCell ref="F8:G8"/>
  </mergeCells>
  <phoneticPr fontId="0" type="noConversion"/>
  <pageMargins left="0.23622047244094491" right="0.15748031496062992" top="0" bottom="0.19685039370078741" header="0.15748031496062992" footer="0.15748031496062992"/>
  <pageSetup paperSize="9" scale="75" fitToHeight="0" orientation="landscape" r:id="rId1"/>
  <headerFooter alignWithMargins="0">
    <oddHeader xml:space="preserve">&amp;C&amp;12                                                                                  </oddHeader>
    <oddFooter>Страница &amp;P</oddFooter>
  </headerFooter>
</worksheet>
</file>

<file path=xl/worksheets/sheet4.xml><?xml version="1.0" encoding="utf-8"?>
<worksheet xmlns="http://schemas.openxmlformats.org/spreadsheetml/2006/main" xmlns:r="http://schemas.openxmlformats.org/officeDocument/2006/relationships">
  <sheetPr codeName="Лист4"/>
  <dimension ref="A1:I102"/>
  <sheetViews>
    <sheetView topLeftCell="A65" workbookViewId="0">
      <selection activeCell="A56" sqref="A56:H97"/>
    </sheetView>
  </sheetViews>
  <sheetFormatPr defaultRowHeight="11.25"/>
  <cols>
    <col min="1" max="1" width="39" customWidth="1"/>
    <col min="2" max="2" width="5.5" customWidth="1"/>
    <col min="3" max="3" width="16.83203125" customWidth="1"/>
    <col min="4" max="4" width="15.1640625" customWidth="1"/>
    <col min="5" max="5" width="28.83203125" customWidth="1"/>
    <col min="6" max="6" width="15.1640625" customWidth="1"/>
    <col min="7" max="7" width="13.5" customWidth="1"/>
    <col min="8" max="8" width="16.5" customWidth="1"/>
    <col min="9" max="9" width="17.5" customWidth="1"/>
    <col min="10" max="10" width="11.6640625" customWidth="1"/>
    <col min="11" max="11" width="13.83203125" customWidth="1"/>
    <col min="12" max="12" width="12.6640625" customWidth="1"/>
    <col min="13" max="13" width="13.83203125" bestFit="1" customWidth="1"/>
    <col min="14" max="14" width="19.1640625" customWidth="1"/>
  </cols>
  <sheetData>
    <row r="1" spans="1:9">
      <c r="E1" s="218"/>
      <c r="F1" s="218"/>
      <c r="G1" s="239"/>
      <c r="H1" s="240"/>
    </row>
    <row r="2" spans="1:9">
      <c r="A2" s="241"/>
      <c r="E2" s="218"/>
      <c r="F2" s="218"/>
      <c r="G2" s="211"/>
      <c r="H2" s="240"/>
    </row>
    <row r="3" spans="1:9">
      <c r="A3" s="392"/>
      <c r="B3" s="393"/>
      <c r="C3" s="393"/>
      <c r="D3" s="393"/>
      <c r="E3" s="393"/>
      <c r="F3" s="393"/>
      <c r="G3" s="393"/>
      <c r="H3" s="393"/>
      <c r="I3" s="393"/>
    </row>
    <row r="4" spans="1:9" ht="16.5" thickBot="1">
      <c r="D4" s="208" t="s">
        <v>784</v>
      </c>
      <c r="E4" s="209"/>
      <c r="F4" s="209"/>
      <c r="G4" s="21"/>
      <c r="H4" s="206" t="s">
        <v>1012</v>
      </c>
      <c r="I4" s="391"/>
    </row>
    <row r="5" spans="1:9" ht="15.75">
      <c r="C5" s="210" t="s">
        <v>785</v>
      </c>
      <c r="E5" s="209"/>
      <c r="F5" s="211"/>
      <c r="G5" s="212" t="s">
        <v>786</v>
      </c>
      <c r="H5" s="213" t="s">
        <v>787</v>
      </c>
    </row>
    <row r="6" spans="1:9">
      <c r="C6">
        <v>1</v>
      </c>
      <c r="D6" s="16" t="s">
        <v>623</v>
      </c>
      <c r="E6" s="1505" t="s">
        <v>624</v>
      </c>
      <c r="F6" s="214"/>
      <c r="G6" s="215" t="s">
        <v>788</v>
      </c>
      <c r="H6" s="216"/>
    </row>
    <row r="7" spans="1:9">
      <c r="A7" s="217" t="s">
        <v>789</v>
      </c>
      <c r="E7" s="218"/>
      <c r="F7" s="218"/>
      <c r="G7" s="215"/>
      <c r="H7" s="219"/>
    </row>
    <row r="8" spans="1:9" ht="16.5" customHeight="1">
      <c r="A8" s="217" t="s">
        <v>790</v>
      </c>
      <c r="E8" s="218"/>
      <c r="F8" s="218"/>
      <c r="G8" s="215"/>
      <c r="H8" s="219"/>
    </row>
    <row r="9" spans="1:9">
      <c r="A9" s="217" t="s">
        <v>791</v>
      </c>
      <c r="D9" s="2684" t="s">
        <v>2225</v>
      </c>
      <c r="E9" s="2684"/>
      <c r="F9" s="2684"/>
      <c r="G9" s="215"/>
      <c r="H9" s="219"/>
    </row>
    <row r="10" spans="1:9">
      <c r="A10" s="217" t="s">
        <v>792</v>
      </c>
      <c r="B10" s="2684"/>
      <c r="C10" s="2684"/>
      <c r="D10" s="2684"/>
      <c r="E10" s="2684"/>
      <c r="F10" s="2684"/>
      <c r="G10" s="215" t="s">
        <v>793</v>
      </c>
      <c r="H10" s="220"/>
    </row>
    <row r="11" spans="1:9">
      <c r="A11" s="217" t="s">
        <v>828</v>
      </c>
      <c r="B11" s="7"/>
      <c r="C11" s="7"/>
      <c r="D11" s="2685" t="s">
        <v>2224</v>
      </c>
      <c r="E11" s="2685"/>
      <c r="F11" s="2685"/>
      <c r="G11" s="215" t="s">
        <v>794</v>
      </c>
      <c r="H11" s="220"/>
    </row>
    <row r="12" spans="1:9">
      <c r="A12" s="217" t="s">
        <v>827</v>
      </c>
      <c r="B12" s="207"/>
      <c r="C12" s="2686" t="s">
        <v>2226</v>
      </c>
      <c r="D12" s="2686"/>
      <c r="E12" s="242"/>
      <c r="F12" s="242"/>
      <c r="G12" s="215"/>
      <c r="H12" s="220"/>
    </row>
    <row r="13" spans="1:9">
      <c r="A13" s="217" t="s">
        <v>831</v>
      </c>
      <c r="B13" s="354"/>
      <c r="C13" s="355"/>
      <c r="D13" s="207"/>
      <c r="E13" s="356"/>
      <c r="F13" s="242"/>
      <c r="G13" s="215"/>
      <c r="H13" s="399" t="s">
        <v>774</v>
      </c>
    </row>
    <row r="14" spans="1:9">
      <c r="A14" s="217"/>
      <c r="E14" s="209"/>
      <c r="F14" s="217"/>
      <c r="G14" s="215" t="s">
        <v>796</v>
      </c>
      <c r="H14" s="220"/>
    </row>
    <row r="15" spans="1:9">
      <c r="A15" s="217" t="s">
        <v>835</v>
      </c>
      <c r="E15" s="217"/>
      <c r="F15" s="217"/>
      <c r="G15" s="217"/>
      <c r="H15" s="221"/>
    </row>
    <row r="16" spans="1:9" ht="12" thickBot="1">
      <c r="A16" s="217" t="s">
        <v>797</v>
      </c>
      <c r="E16" s="217"/>
      <c r="F16" s="217"/>
      <c r="G16" s="215" t="s">
        <v>798</v>
      </c>
      <c r="H16" s="222" t="s">
        <v>799</v>
      </c>
    </row>
    <row r="17" spans="1:8">
      <c r="A17" s="2687" t="s">
        <v>800</v>
      </c>
      <c r="B17" s="2687"/>
      <c r="C17" s="2687"/>
      <c r="D17" s="2683"/>
      <c r="E17" s="224" t="s">
        <v>801</v>
      </c>
      <c r="F17" s="2682" t="s">
        <v>802</v>
      </c>
      <c r="G17" s="2683"/>
      <c r="H17" s="224" t="s">
        <v>803</v>
      </c>
    </row>
    <row r="18" spans="1:8">
      <c r="A18" s="2688" t="s">
        <v>804</v>
      </c>
      <c r="B18" s="2682" t="s">
        <v>805</v>
      </c>
      <c r="C18" s="2687"/>
      <c r="D18" s="2683"/>
      <c r="E18" s="226" t="s">
        <v>806</v>
      </c>
      <c r="F18" s="224" t="s">
        <v>807</v>
      </c>
      <c r="G18" s="226" t="s">
        <v>808</v>
      </c>
      <c r="H18" s="228" t="s">
        <v>809</v>
      </c>
    </row>
    <row r="19" spans="1:8">
      <c r="A19" s="2689"/>
      <c r="B19" s="227" t="s">
        <v>810</v>
      </c>
      <c r="C19" s="224" t="s">
        <v>811</v>
      </c>
      <c r="D19" s="224" t="s">
        <v>812</v>
      </c>
      <c r="E19" s="226"/>
      <c r="F19" s="226"/>
      <c r="G19" s="226"/>
      <c r="H19" s="228" t="s">
        <v>813</v>
      </c>
    </row>
    <row r="20" spans="1:8">
      <c r="A20" s="2690"/>
      <c r="B20" s="228" t="s">
        <v>814</v>
      </c>
      <c r="C20" s="226" t="s">
        <v>815</v>
      </c>
      <c r="D20" s="226" t="s">
        <v>816</v>
      </c>
      <c r="E20" s="226"/>
      <c r="F20" s="226"/>
      <c r="G20" s="229"/>
      <c r="H20" s="228" t="s">
        <v>817</v>
      </c>
    </row>
    <row r="21" spans="1:8" ht="12" thickBot="1">
      <c r="A21" s="398">
        <v>1</v>
      </c>
      <c r="B21" s="224">
        <v>2</v>
      </c>
      <c r="C21" s="230">
        <v>3</v>
      </c>
      <c r="D21" s="225">
        <v>4</v>
      </c>
      <c r="E21" s="22">
        <v>5</v>
      </c>
      <c r="F21" s="22">
        <v>6</v>
      </c>
      <c r="G21" s="246" t="s">
        <v>818</v>
      </c>
      <c r="H21" s="246" t="s">
        <v>819</v>
      </c>
    </row>
    <row r="22" spans="1:8">
      <c r="A22" s="223"/>
      <c r="B22" s="407" t="s">
        <v>1667</v>
      </c>
      <c r="C22" s="408" t="s">
        <v>815</v>
      </c>
      <c r="D22" s="409" t="s">
        <v>1668</v>
      </c>
      <c r="E22" s="410"/>
      <c r="F22" s="411"/>
      <c r="G22" s="412"/>
      <c r="H22" s="413" t="s">
        <v>1669</v>
      </c>
    </row>
    <row r="23" spans="1:8" ht="12" thickBot="1">
      <c r="A23" s="15" t="s">
        <v>2227</v>
      </c>
      <c r="B23" s="231" t="s">
        <v>1661</v>
      </c>
      <c r="C23" s="205">
        <v>25401370</v>
      </c>
      <c r="D23" s="243" t="s">
        <v>829</v>
      </c>
      <c r="E23" s="397" t="s">
        <v>774</v>
      </c>
      <c r="F23" s="205"/>
      <c r="G23" s="400">
        <f>-(Лист1!F653+Лист1!F654)</f>
        <v>0</v>
      </c>
      <c r="H23" s="414" t="s">
        <v>775</v>
      </c>
    </row>
    <row r="24" spans="1:8" ht="12" thickBot="1">
      <c r="A24" s="404" t="s">
        <v>820</v>
      </c>
      <c r="B24" s="401" t="s">
        <v>32</v>
      </c>
      <c r="C24" s="401" t="s">
        <v>32</v>
      </c>
      <c r="D24" s="244" t="s">
        <v>32</v>
      </c>
      <c r="E24" s="245" t="s">
        <v>32</v>
      </c>
      <c r="F24" s="402" t="s">
        <v>32</v>
      </c>
      <c r="G24" s="403"/>
      <c r="H24" s="415" t="s">
        <v>32</v>
      </c>
    </row>
    <row r="25" spans="1:8" ht="12" thickBot="1">
      <c r="A25" s="233" t="s">
        <v>821</v>
      </c>
      <c r="B25" s="236"/>
      <c r="C25" s="205">
        <v>25401370</v>
      </c>
      <c r="D25" s="243" t="s">
        <v>829</v>
      </c>
      <c r="E25" s="397" t="s">
        <v>774</v>
      </c>
      <c r="F25" s="400">
        <f>-G23</f>
        <v>0</v>
      </c>
      <c r="G25" s="400"/>
      <c r="H25" s="414" t="s">
        <v>775</v>
      </c>
    </row>
    <row r="26" spans="1:8" ht="12" thickBot="1">
      <c r="A26" s="234" t="s">
        <v>822</v>
      </c>
      <c r="B26" s="401" t="s">
        <v>32</v>
      </c>
      <c r="C26" s="401" t="s">
        <v>32</v>
      </c>
      <c r="D26" s="244" t="s">
        <v>32</v>
      </c>
      <c r="E26" s="245" t="s">
        <v>32</v>
      </c>
      <c r="F26" s="402" t="s">
        <v>32</v>
      </c>
      <c r="G26" s="403"/>
      <c r="H26" s="415" t="s">
        <v>32</v>
      </c>
    </row>
    <row r="27" spans="1:8">
      <c r="A27" s="215" t="s">
        <v>823</v>
      </c>
      <c r="B27" s="249"/>
      <c r="C27" s="254"/>
      <c r="D27" s="251"/>
      <c r="E27" s="255"/>
      <c r="F27" s="250"/>
      <c r="G27" s="252"/>
      <c r="H27" s="416"/>
    </row>
    <row r="28" spans="1:8">
      <c r="A28" s="215"/>
      <c r="B28" s="231" t="s">
        <v>1661</v>
      </c>
      <c r="C28" s="205">
        <v>25401370</v>
      </c>
      <c r="D28" s="243" t="s">
        <v>829</v>
      </c>
      <c r="E28" s="397" t="s">
        <v>774</v>
      </c>
      <c r="F28" s="400">
        <f>F25</f>
        <v>0</v>
      </c>
      <c r="G28" s="400"/>
      <c r="H28" s="414" t="s">
        <v>775</v>
      </c>
    </row>
    <row r="29" spans="1:8" ht="12" thickBot="1">
      <c r="A29" s="215" t="s">
        <v>824</v>
      </c>
      <c r="B29" s="312"/>
      <c r="C29" s="405"/>
      <c r="D29" s="247"/>
      <c r="E29" s="406"/>
      <c r="F29" s="247"/>
      <c r="G29" s="247"/>
      <c r="H29" s="396"/>
    </row>
    <row r="30" spans="1:8">
      <c r="E30" s="237"/>
      <c r="F30" s="237"/>
      <c r="G30" s="238"/>
      <c r="H30" s="238"/>
    </row>
    <row r="31" spans="1:8">
      <c r="A31" s="218" t="s">
        <v>832</v>
      </c>
      <c r="B31" s="16" t="s">
        <v>833</v>
      </c>
      <c r="C31" s="16"/>
      <c r="E31" s="217" t="s">
        <v>834</v>
      </c>
      <c r="F31" s="217"/>
      <c r="G31" s="16" t="s">
        <v>769</v>
      </c>
      <c r="H31" s="7"/>
    </row>
    <row r="32" spans="1:8">
      <c r="A32" s="217" t="s">
        <v>825</v>
      </c>
      <c r="E32" s="217" t="s">
        <v>826</v>
      </c>
      <c r="F32" s="217"/>
    </row>
    <row r="33" spans="1:8">
      <c r="E33" s="218"/>
      <c r="F33" s="218"/>
      <c r="G33" s="239"/>
      <c r="H33" s="240"/>
    </row>
    <row r="34" spans="1:8">
      <c r="A34" s="241"/>
      <c r="E34" s="218"/>
      <c r="F34" s="218"/>
      <c r="G34" s="211"/>
      <c r="H34" s="240"/>
    </row>
    <row r="36" spans="1:8" ht="16.5" thickBot="1">
      <c r="A36" s="601"/>
      <c r="B36" s="601"/>
      <c r="C36" s="601"/>
      <c r="D36" s="208" t="s">
        <v>784</v>
      </c>
      <c r="E36" s="690"/>
      <c r="F36" s="690"/>
      <c r="G36" s="21"/>
      <c r="H36" s="206" t="s">
        <v>1012</v>
      </c>
    </row>
    <row r="37" spans="1:8" ht="15.75">
      <c r="A37" s="601"/>
      <c r="B37" s="601"/>
      <c r="C37" s="210" t="s">
        <v>785</v>
      </c>
      <c r="D37" s="601"/>
      <c r="E37" s="690"/>
      <c r="F37" s="2691" t="s">
        <v>979</v>
      </c>
      <c r="G37" s="2692"/>
      <c r="H37" s="213" t="s">
        <v>787</v>
      </c>
    </row>
    <row r="38" spans="1:8" ht="12.75">
      <c r="A38" s="691"/>
      <c r="B38" s="601"/>
      <c r="C38" s="601"/>
      <c r="D38" t="s">
        <v>362</v>
      </c>
      <c r="E38" s="214"/>
      <c r="F38" s="214"/>
      <c r="G38" s="692" t="s">
        <v>696</v>
      </c>
      <c r="H38" s="693">
        <v>40848</v>
      </c>
    </row>
    <row r="39" spans="1:8" ht="12.75">
      <c r="A39" s="217" t="s">
        <v>697</v>
      </c>
      <c r="B39" s="601"/>
      <c r="C39" s="601"/>
      <c r="D39" s="601"/>
      <c r="E39" s="218"/>
      <c r="F39" s="218"/>
      <c r="G39" s="215"/>
      <c r="H39" s="219"/>
    </row>
    <row r="40" spans="1:8" ht="12.75">
      <c r="A40" s="217" t="s">
        <v>698</v>
      </c>
      <c r="B40" s="601"/>
      <c r="C40" s="601"/>
      <c r="D40" s="601"/>
      <c r="E40" s="218"/>
      <c r="F40" s="218"/>
      <c r="G40" s="215"/>
      <c r="H40" s="219"/>
    </row>
    <row r="41" spans="1:8" ht="12.75">
      <c r="A41" s="217" t="s">
        <v>699</v>
      </c>
      <c r="B41" s="601"/>
      <c r="C41" s="601"/>
      <c r="D41" s="601"/>
      <c r="E41" s="218"/>
      <c r="F41" s="218"/>
      <c r="G41" s="215"/>
      <c r="H41" s="219"/>
    </row>
    <row r="42" spans="1:8" ht="12.75">
      <c r="A42" s="217" t="s">
        <v>700</v>
      </c>
      <c r="B42" s="601"/>
      <c r="C42" s="601"/>
      <c r="D42" s="601"/>
      <c r="E42" s="218"/>
      <c r="F42" s="218"/>
      <c r="G42" s="215"/>
      <c r="H42" s="219"/>
    </row>
    <row r="43" spans="1:8" ht="12.75">
      <c r="A43" s="217" t="s">
        <v>701</v>
      </c>
      <c r="B43" s="601"/>
      <c r="C43" s="601"/>
      <c r="D43" s="601"/>
      <c r="E43" s="218"/>
      <c r="F43" s="218"/>
      <c r="G43" s="692" t="s">
        <v>658</v>
      </c>
      <c r="H43" s="399" t="s">
        <v>702</v>
      </c>
    </row>
    <row r="44" spans="1:8">
      <c r="A44" s="217" t="s">
        <v>703</v>
      </c>
      <c r="B44" s="2693" t="s">
        <v>657</v>
      </c>
      <c r="C44" s="2693"/>
      <c r="D44" s="2693"/>
      <c r="E44" s="2693"/>
      <c r="F44" s="2693"/>
      <c r="G44" s="692" t="s">
        <v>704</v>
      </c>
      <c r="H44" s="399" t="s">
        <v>702</v>
      </c>
    </row>
    <row r="45" spans="1:8" ht="12.75">
      <c r="A45" s="217" t="s">
        <v>705</v>
      </c>
      <c r="B45" s="601"/>
      <c r="C45" s="694" t="s">
        <v>2224</v>
      </c>
      <c r="D45" s="695"/>
      <c r="E45" s="241"/>
      <c r="F45" s="241"/>
      <c r="G45" s="692" t="s">
        <v>981</v>
      </c>
      <c r="H45" s="696" t="s">
        <v>702</v>
      </c>
    </row>
    <row r="46" spans="1:8">
      <c r="A46" s="217" t="s">
        <v>706</v>
      </c>
      <c r="B46" s="2681" t="s">
        <v>2226</v>
      </c>
      <c r="C46" s="2681"/>
      <c r="D46" s="2681"/>
      <c r="E46" s="2681"/>
      <c r="F46" s="2681"/>
      <c r="G46" s="215"/>
      <c r="H46" s="220"/>
    </row>
    <row r="47" spans="1:8" ht="12.75">
      <c r="A47" s="217"/>
      <c r="B47" s="601"/>
      <c r="C47" s="601"/>
      <c r="D47" s="601"/>
      <c r="E47" s="690"/>
      <c r="F47" s="690"/>
      <c r="G47" s="692" t="s">
        <v>707</v>
      </c>
      <c r="H47" s="399" t="s">
        <v>2122</v>
      </c>
    </row>
    <row r="48" spans="1:8" ht="12.75">
      <c r="A48" s="217" t="s">
        <v>708</v>
      </c>
      <c r="B48" s="601"/>
      <c r="C48" s="601"/>
      <c r="D48" s="601"/>
      <c r="E48" s="217"/>
      <c r="F48" s="217"/>
      <c r="G48" s="217"/>
      <c r="H48" s="221"/>
    </row>
    <row r="49" spans="1:9" ht="13.5" thickBot="1">
      <c r="A49" s="217" t="s">
        <v>709</v>
      </c>
      <c r="B49" s="601"/>
      <c r="C49" s="601"/>
      <c r="D49" s="601"/>
      <c r="E49" s="217"/>
      <c r="F49" s="217"/>
      <c r="G49" s="692" t="s">
        <v>982</v>
      </c>
      <c r="H49" s="222" t="s">
        <v>799</v>
      </c>
    </row>
    <row r="50" spans="1:9" ht="12.75">
      <c r="A50" s="217" t="s">
        <v>771</v>
      </c>
      <c r="B50" s="601"/>
      <c r="C50" s="601"/>
      <c r="D50" s="601"/>
      <c r="E50" s="217"/>
      <c r="F50" s="217"/>
      <c r="G50" s="217"/>
      <c r="H50" s="240"/>
    </row>
    <row r="51" spans="1:9">
      <c r="A51" s="2682" t="s">
        <v>800</v>
      </c>
      <c r="B51" s="2687"/>
      <c r="C51" s="2687"/>
      <c r="D51" s="2683"/>
      <c r="E51" s="224" t="s">
        <v>801</v>
      </c>
      <c r="F51" s="2682" t="s">
        <v>802</v>
      </c>
      <c r="G51" s="2683"/>
      <c r="H51" s="224" t="s">
        <v>803</v>
      </c>
    </row>
    <row r="52" spans="1:9">
      <c r="A52" s="2694" t="s">
        <v>2137</v>
      </c>
      <c r="B52" s="2682" t="s">
        <v>805</v>
      </c>
      <c r="C52" s="2687"/>
      <c r="D52" s="2683"/>
      <c r="E52" s="226" t="s">
        <v>806</v>
      </c>
      <c r="F52" s="224" t="s">
        <v>807</v>
      </c>
      <c r="G52" s="226" t="s">
        <v>808</v>
      </c>
      <c r="H52" s="228" t="s">
        <v>809</v>
      </c>
    </row>
    <row r="53" spans="1:9">
      <c r="A53" s="2695"/>
      <c r="B53" s="227" t="s">
        <v>710</v>
      </c>
      <c r="C53" s="2697" t="s">
        <v>981</v>
      </c>
      <c r="D53" s="2699" t="s">
        <v>711</v>
      </c>
      <c r="E53" s="226"/>
      <c r="F53" s="226"/>
      <c r="G53" s="226"/>
      <c r="H53" s="228" t="s">
        <v>813</v>
      </c>
    </row>
    <row r="54" spans="1:9">
      <c r="A54" s="2696"/>
      <c r="B54" s="228" t="s">
        <v>712</v>
      </c>
      <c r="C54" s="2698"/>
      <c r="D54" s="2700"/>
      <c r="E54" s="226"/>
      <c r="F54" s="226"/>
      <c r="G54" s="229"/>
      <c r="H54" s="228" t="s">
        <v>817</v>
      </c>
    </row>
    <row r="55" spans="1:9" ht="12" thickBot="1">
      <c r="A55" s="652">
        <v>1</v>
      </c>
      <c r="B55" s="206">
        <v>2</v>
      </c>
      <c r="C55" s="697">
        <v>3</v>
      </c>
      <c r="D55" s="647">
        <v>4</v>
      </c>
      <c r="E55" s="569">
        <v>5</v>
      </c>
      <c r="F55" s="569">
        <v>6</v>
      </c>
      <c r="G55" s="698" t="s">
        <v>818</v>
      </c>
      <c r="H55" s="698" t="s">
        <v>819</v>
      </c>
    </row>
    <row r="56" spans="1:9" ht="22.5">
      <c r="A56" s="699" t="s">
        <v>2227</v>
      </c>
      <c r="B56" s="662" t="s">
        <v>714</v>
      </c>
      <c r="C56" s="700" t="s">
        <v>713</v>
      </c>
      <c r="D56" s="701" t="s">
        <v>829</v>
      </c>
      <c r="E56" s="702" t="s">
        <v>715</v>
      </c>
      <c r="F56" s="703">
        <v>0</v>
      </c>
      <c r="G56" s="759">
        <f>'125'!P5</f>
        <v>437000</v>
      </c>
      <c r="H56" s="704" t="s">
        <v>830</v>
      </c>
      <c r="I56" s="758"/>
    </row>
    <row r="57" spans="1:9" ht="22.5">
      <c r="A57" s="699" t="s">
        <v>2227</v>
      </c>
      <c r="B57" s="662" t="s">
        <v>714</v>
      </c>
      <c r="C57" s="700" t="s">
        <v>713</v>
      </c>
      <c r="D57" s="701" t="s">
        <v>829</v>
      </c>
      <c r="E57" s="1093" t="s">
        <v>2869</v>
      </c>
      <c r="F57" s="703">
        <v>0</v>
      </c>
      <c r="G57" s="759">
        <f>'125'!P3</f>
        <v>0</v>
      </c>
      <c r="H57" s="704" t="s">
        <v>830</v>
      </c>
    </row>
    <row r="58" spans="1:9" ht="22.5">
      <c r="A58" s="699" t="s">
        <v>2227</v>
      </c>
      <c r="B58" s="662" t="s">
        <v>714</v>
      </c>
      <c r="C58" s="700" t="s">
        <v>713</v>
      </c>
      <c r="D58" s="701" t="s">
        <v>829</v>
      </c>
      <c r="E58" s="702" t="s">
        <v>1690</v>
      </c>
      <c r="F58" s="703">
        <v>0</v>
      </c>
      <c r="G58" s="759">
        <f>'125'!P4</f>
        <v>0</v>
      </c>
      <c r="H58" s="704" t="s">
        <v>830</v>
      </c>
      <c r="I58" s="1089"/>
    </row>
    <row r="59" spans="1:9" ht="22.5">
      <c r="A59" s="699" t="s">
        <v>2227</v>
      </c>
      <c r="B59" s="662" t="s">
        <v>2063</v>
      </c>
      <c r="C59" s="700" t="s">
        <v>713</v>
      </c>
      <c r="D59" s="701" t="s">
        <v>829</v>
      </c>
      <c r="E59" s="702" t="s">
        <v>715</v>
      </c>
      <c r="F59" s="703">
        <v>0</v>
      </c>
      <c r="G59" s="759">
        <f>'125'!P55</f>
        <v>208025</v>
      </c>
      <c r="H59" s="704" t="s">
        <v>830</v>
      </c>
      <c r="I59" s="1089"/>
    </row>
    <row r="60" spans="1:9" ht="22.5">
      <c r="A60" s="699" t="s">
        <v>2227</v>
      </c>
      <c r="B60" s="662" t="s">
        <v>2228</v>
      </c>
      <c r="C60" s="700" t="s">
        <v>713</v>
      </c>
      <c r="D60" s="701" t="s">
        <v>829</v>
      </c>
      <c r="E60" s="702" t="s">
        <v>716</v>
      </c>
      <c r="F60" s="703">
        <v>0</v>
      </c>
      <c r="G60" s="759">
        <f>'125'!P11</f>
        <v>0</v>
      </c>
      <c r="H60" s="704" t="s">
        <v>830</v>
      </c>
    </row>
    <row r="61" spans="1:9" ht="22.5">
      <c r="A61" s="699" t="s">
        <v>2227</v>
      </c>
      <c r="B61" s="662" t="s">
        <v>2228</v>
      </c>
      <c r="C61" s="700" t="s">
        <v>713</v>
      </c>
      <c r="D61" s="701" t="s">
        <v>829</v>
      </c>
      <c r="E61" s="702" t="s">
        <v>717</v>
      </c>
      <c r="F61" s="703">
        <v>0</v>
      </c>
      <c r="G61" s="759">
        <f>'125'!P7+'125'!P8</f>
        <v>4203044.22</v>
      </c>
      <c r="H61" s="704" t="s">
        <v>830</v>
      </c>
      <c r="I61" s="1089"/>
    </row>
    <row r="62" spans="1:9" ht="22.5">
      <c r="A62" s="699" t="s">
        <v>2227</v>
      </c>
      <c r="B62" s="662" t="s">
        <v>2228</v>
      </c>
      <c r="C62" s="700" t="s">
        <v>713</v>
      </c>
      <c r="D62" s="701" t="s">
        <v>829</v>
      </c>
      <c r="E62" s="702" t="s">
        <v>715</v>
      </c>
      <c r="F62" s="703">
        <v>0</v>
      </c>
      <c r="G62" s="759">
        <f>'125'!P9+'125'!P10</f>
        <v>356728.7</v>
      </c>
      <c r="H62" s="704" t="s">
        <v>830</v>
      </c>
      <c r="I62" s="1089"/>
    </row>
    <row r="63" spans="1:9" ht="22.5">
      <c r="A63" s="699" t="s">
        <v>2227</v>
      </c>
      <c r="B63" s="662" t="s">
        <v>2228</v>
      </c>
      <c r="C63" s="700" t="s">
        <v>713</v>
      </c>
      <c r="D63" s="701" t="s">
        <v>829</v>
      </c>
      <c r="E63" s="702" t="s">
        <v>718</v>
      </c>
      <c r="F63" s="703">
        <v>0</v>
      </c>
      <c r="G63" s="759">
        <f>'125'!P12</f>
        <v>0</v>
      </c>
      <c r="H63" s="704" t="s">
        <v>830</v>
      </c>
    </row>
    <row r="64" spans="1:9" ht="22.5">
      <c r="A64" s="699" t="s">
        <v>2227</v>
      </c>
      <c r="B64" s="662" t="s">
        <v>2228</v>
      </c>
      <c r="C64" s="700" t="s">
        <v>713</v>
      </c>
      <c r="D64" s="701" t="s">
        <v>829</v>
      </c>
      <c r="E64" s="702" t="s">
        <v>719</v>
      </c>
      <c r="F64" s="703">
        <v>0</v>
      </c>
      <c r="G64" s="759"/>
      <c r="H64" s="704" t="s">
        <v>830</v>
      </c>
      <c r="I64" s="1089"/>
    </row>
    <row r="65" spans="1:9" ht="22.5">
      <c r="A65" s="699" t="s">
        <v>2227</v>
      </c>
      <c r="B65" s="662" t="s">
        <v>2085</v>
      </c>
      <c r="C65" s="700" t="s">
        <v>713</v>
      </c>
      <c r="D65" s="701" t="s">
        <v>829</v>
      </c>
      <c r="E65" s="1093" t="s">
        <v>2985</v>
      </c>
      <c r="F65" s="703">
        <v>0</v>
      </c>
      <c r="G65" s="759">
        <f>'125'!P16</f>
        <v>0</v>
      </c>
      <c r="H65" s="704" t="s">
        <v>830</v>
      </c>
    </row>
    <row r="66" spans="1:9" ht="22.5">
      <c r="A66" s="699" t="s">
        <v>2227</v>
      </c>
      <c r="B66" s="662" t="s">
        <v>2085</v>
      </c>
      <c r="C66" s="700" t="s">
        <v>713</v>
      </c>
      <c r="D66" s="701" t="s">
        <v>829</v>
      </c>
      <c r="E66" s="702" t="s">
        <v>720</v>
      </c>
      <c r="F66" s="703">
        <v>0</v>
      </c>
      <c r="G66" s="759">
        <f>'125'!P14</f>
        <v>0</v>
      </c>
      <c r="H66" s="704" t="s">
        <v>830</v>
      </c>
    </row>
    <row r="67" spans="1:9" ht="22.5">
      <c r="A67" s="699" t="s">
        <v>2227</v>
      </c>
      <c r="B67" s="662" t="s">
        <v>2085</v>
      </c>
      <c r="C67" s="700" t="s">
        <v>713</v>
      </c>
      <c r="D67" s="701" t="s">
        <v>829</v>
      </c>
      <c r="E67" s="702" t="s">
        <v>721</v>
      </c>
      <c r="F67" s="703">
        <v>0</v>
      </c>
      <c r="G67" s="759">
        <f>'125'!P15+'125'!P17</f>
        <v>25618300</v>
      </c>
      <c r="H67" s="704" t="s">
        <v>830</v>
      </c>
    </row>
    <row r="68" spans="1:9" ht="22.5">
      <c r="A68" s="699" t="s">
        <v>2227</v>
      </c>
      <c r="B68" s="662" t="s">
        <v>2085</v>
      </c>
      <c r="C68" s="700" t="s">
        <v>713</v>
      </c>
      <c r="D68" s="701" t="s">
        <v>829</v>
      </c>
      <c r="E68" s="702" t="s">
        <v>1690</v>
      </c>
      <c r="F68" s="703">
        <v>0</v>
      </c>
      <c r="G68" s="759"/>
      <c r="H68" s="704" t="s">
        <v>830</v>
      </c>
      <c r="I68" s="1089"/>
    </row>
    <row r="69" spans="1:9" ht="22.5">
      <c r="A69" s="699" t="s">
        <v>2227</v>
      </c>
      <c r="B69" s="662" t="s">
        <v>1661</v>
      </c>
      <c r="C69" s="700" t="s">
        <v>713</v>
      </c>
      <c r="D69" s="701" t="s">
        <v>829</v>
      </c>
      <c r="E69" s="702" t="s">
        <v>722</v>
      </c>
      <c r="F69" s="703">
        <v>0</v>
      </c>
      <c r="G69" s="759">
        <f>'125'!P22</f>
        <v>29205000</v>
      </c>
      <c r="H69" s="704" t="s">
        <v>830</v>
      </c>
    </row>
    <row r="70" spans="1:9" ht="22.5">
      <c r="A70" s="699" t="s">
        <v>2227</v>
      </c>
      <c r="B70" s="662" t="s">
        <v>1661</v>
      </c>
      <c r="C70" s="700" t="s">
        <v>713</v>
      </c>
      <c r="D70" s="701" t="s">
        <v>829</v>
      </c>
      <c r="E70" s="702" t="s">
        <v>723</v>
      </c>
      <c r="F70" s="703">
        <v>0</v>
      </c>
      <c r="G70" s="759">
        <f>'125'!P21</f>
        <v>11046000</v>
      </c>
      <c r="H70" s="704" t="s">
        <v>830</v>
      </c>
    </row>
    <row r="71" spans="1:9" ht="22.5">
      <c r="A71" s="699" t="s">
        <v>2227</v>
      </c>
      <c r="B71" s="662" t="s">
        <v>1661</v>
      </c>
      <c r="C71" s="700" t="s">
        <v>713</v>
      </c>
      <c r="D71" s="701" t="s">
        <v>829</v>
      </c>
      <c r="E71" s="702" t="s">
        <v>724</v>
      </c>
      <c r="F71" s="703">
        <v>0</v>
      </c>
      <c r="G71" s="759">
        <f>'125'!P29</f>
        <v>0</v>
      </c>
      <c r="H71" s="704" t="s">
        <v>830</v>
      </c>
    </row>
    <row r="72" spans="1:9" ht="22.5">
      <c r="A72" s="699" t="s">
        <v>2227</v>
      </c>
      <c r="B72" s="662" t="s">
        <v>1661</v>
      </c>
      <c r="C72" s="700" t="s">
        <v>713</v>
      </c>
      <c r="D72" s="701" t="s">
        <v>829</v>
      </c>
      <c r="E72" s="702" t="s">
        <v>1466</v>
      </c>
      <c r="F72" s="703">
        <v>0</v>
      </c>
      <c r="G72" s="759">
        <f>'125'!P24</f>
        <v>0</v>
      </c>
      <c r="H72" s="704" t="s">
        <v>830</v>
      </c>
    </row>
    <row r="73" spans="1:9" ht="22.5">
      <c r="A73" s="699" t="s">
        <v>2227</v>
      </c>
      <c r="B73" s="662" t="s">
        <v>1661</v>
      </c>
      <c r="C73" s="700" t="s">
        <v>713</v>
      </c>
      <c r="D73" s="701" t="s">
        <v>829</v>
      </c>
      <c r="E73" s="702" t="s">
        <v>716</v>
      </c>
      <c r="F73" s="703">
        <v>0</v>
      </c>
      <c r="G73" s="759">
        <f>'125'!P27+'125'!P31+'125'!P30</f>
        <v>2624000</v>
      </c>
      <c r="H73" s="704" t="s">
        <v>830</v>
      </c>
      <c r="I73" s="758"/>
    </row>
    <row r="74" spans="1:9" ht="22.5">
      <c r="A74" s="699" t="s">
        <v>2227</v>
      </c>
      <c r="B74" s="662" t="s">
        <v>1661</v>
      </c>
      <c r="C74" s="700" t="s">
        <v>713</v>
      </c>
      <c r="D74" s="701" t="s">
        <v>829</v>
      </c>
      <c r="E74" s="702" t="s">
        <v>725</v>
      </c>
      <c r="F74" s="703">
        <v>0</v>
      </c>
      <c r="G74" s="759">
        <f>'125'!P19</f>
        <v>0</v>
      </c>
      <c r="H74" s="704" t="s">
        <v>830</v>
      </c>
    </row>
    <row r="75" spans="1:9" ht="22.5">
      <c r="A75" s="699" t="s">
        <v>2227</v>
      </c>
      <c r="B75" s="662" t="s">
        <v>1661</v>
      </c>
      <c r="C75" s="700" t="s">
        <v>713</v>
      </c>
      <c r="D75" s="701" t="s">
        <v>829</v>
      </c>
      <c r="E75" s="702" t="s">
        <v>726</v>
      </c>
      <c r="F75" s="703">
        <v>0</v>
      </c>
      <c r="G75" s="759">
        <f>'125'!P20</f>
        <v>107155.03</v>
      </c>
      <c r="H75" s="704" t="s">
        <v>830</v>
      </c>
      <c r="I75" s="1089"/>
    </row>
    <row r="76" spans="1:9" ht="22.5">
      <c r="A76" s="699" t="s">
        <v>2227</v>
      </c>
      <c r="B76" s="662" t="s">
        <v>1661</v>
      </c>
      <c r="C76" s="700" t="s">
        <v>713</v>
      </c>
      <c r="D76" s="701" t="s">
        <v>829</v>
      </c>
      <c r="E76" s="702" t="s">
        <v>719</v>
      </c>
      <c r="F76" s="703">
        <v>0</v>
      </c>
      <c r="G76" s="759"/>
      <c r="H76" s="704" t="s">
        <v>830</v>
      </c>
      <c r="I76" s="1089"/>
    </row>
    <row r="77" spans="1:9" ht="22.5">
      <c r="A77" s="699" t="s">
        <v>2227</v>
      </c>
      <c r="B77" s="662" t="s">
        <v>1013</v>
      </c>
      <c r="C77" s="700" t="s">
        <v>713</v>
      </c>
      <c r="D77" s="701" t="s">
        <v>829</v>
      </c>
      <c r="E77" s="1093" t="s">
        <v>2844</v>
      </c>
      <c r="F77" s="703">
        <v>0</v>
      </c>
      <c r="G77" s="759">
        <f>'125'!P34</f>
        <v>0</v>
      </c>
      <c r="H77" s="704" t="s">
        <v>830</v>
      </c>
      <c r="I77" s="1089"/>
    </row>
    <row r="78" spans="1:9" ht="22.5">
      <c r="A78" s="699" t="s">
        <v>2227</v>
      </c>
      <c r="B78" s="662" t="s">
        <v>1013</v>
      </c>
      <c r="C78" s="700" t="s">
        <v>713</v>
      </c>
      <c r="D78" s="701" t="s">
        <v>829</v>
      </c>
      <c r="E78" s="702" t="s">
        <v>716</v>
      </c>
      <c r="F78" s="703">
        <v>0</v>
      </c>
      <c r="G78" s="759">
        <f>'125'!P33</f>
        <v>0</v>
      </c>
      <c r="H78" s="704" t="s">
        <v>830</v>
      </c>
    </row>
    <row r="79" spans="1:9" ht="22.5">
      <c r="A79" s="699" t="s">
        <v>2227</v>
      </c>
      <c r="B79" s="662" t="s">
        <v>1013</v>
      </c>
      <c r="C79" s="700" t="s">
        <v>713</v>
      </c>
      <c r="D79" s="701" t="s">
        <v>829</v>
      </c>
      <c r="E79" s="1093" t="s">
        <v>716</v>
      </c>
      <c r="F79" s="703">
        <v>0</v>
      </c>
      <c r="G79" s="759">
        <f>'125'!P35</f>
        <v>0</v>
      </c>
      <c r="H79" s="704" t="s">
        <v>830</v>
      </c>
      <c r="I79" s="1089"/>
    </row>
    <row r="80" spans="1:9" ht="22.5">
      <c r="A80" s="699" t="s">
        <v>2227</v>
      </c>
      <c r="B80" s="662" t="s">
        <v>332</v>
      </c>
      <c r="C80" s="700" t="s">
        <v>713</v>
      </c>
      <c r="D80" s="701" t="s">
        <v>829</v>
      </c>
      <c r="E80" s="702" t="s">
        <v>727</v>
      </c>
      <c r="F80" s="703">
        <v>0</v>
      </c>
      <c r="G80" s="759">
        <f>'125'!P39</f>
        <v>0</v>
      </c>
      <c r="H80" s="704" t="s">
        <v>830</v>
      </c>
    </row>
    <row r="81" spans="1:9" ht="22.5">
      <c r="A81" s="699" t="s">
        <v>2227</v>
      </c>
      <c r="B81" s="662" t="s">
        <v>332</v>
      </c>
      <c r="C81" s="700" t="s">
        <v>713</v>
      </c>
      <c r="D81" s="701" t="s">
        <v>829</v>
      </c>
      <c r="E81" s="702" t="s">
        <v>725</v>
      </c>
      <c r="F81" s="703">
        <v>0</v>
      </c>
      <c r="G81" s="759">
        <f>'125'!P37</f>
        <v>0</v>
      </c>
      <c r="H81" s="704" t="s">
        <v>830</v>
      </c>
    </row>
    <row r="82" spans="1:9" ht="22.5">
      <c r="A82" s="699" t="s">
        <v>2227</v>
      </c>
      <c r="B82" s="662" t="s">
        <v>332</v>
      </c>
      <c r="C82" s="700" t="s">
        <v>713</v>
      </c>
      <c r="D82" s="701" t="s">
        <v>829</v>
      </c>
      <c r="E82" s="1093" t="s">
        <v>716</v>
      </c>
      <c r="F82" s="703">
        <v>0</v>
      </c>
      <c r="G82" s="759">
        <f>'125'!P38</f>
        <v>0</v>
      </c>
      <c r="H82" s="704" t="s">
        <v>830</v>
      </c>
      <c r="I82" s="1089"/>
    </row>
    <row r="83" spans="1:9" ht="22.5">
      <c r="A83" s="699" t="s">
        <v>2227</v>
      </c>
      <c r="B83" s="662" t="s">
        <v>332</v>
      </c>
      <c r="C83" s="700" t="s">
        <v>713</v>
      </c>
      <c r="D83" s="701" t="s">
        <v>829</v>
      </c>
      <c r="E83" s="1093" t="s">
        <v>1690</v>
      </c>
      <c r="F83" s="703">
        <v>0</v>
      </c>
      <c r="G83" s="759">
        <f>'125'!P40</f>
        <v>0</v>
      </c>
      <c r="H83" s="704" t="s">
        <v>830</v>
      </c>
      <c r="I83" s="1089"/>
    </row>
    <row r="84" spans="1:9" ht="22.5">
      <c r="A84" s="699" t="s">
        <v>2227</v>
      </c>
      <c r="B84" s="662" t="s">
        <v>1455</v>
      </c>
      <c r="C84" s="700" t="s">
        <v>713</v>
      </c>
      <c r="D84" s="701" t="s">
        <v>829</v>
      </c>
      <c r="E84" s="702" t="s">
        <v>715</v>
      </c>
      <c r="F84" s="703">
        <v>0</v>
      </c>
      <c r="G84" s="759">
        <f>'125'!P44</f>
        <v>0</v>
      </c>
      <c r="H84" s="704" t="s">
        <v>830</v>
      </c>
    </row>
    <row r="85" spans="1:9" ht="22.5">
      <c r="A85" s="699" t="s">
        <v>2227</v>
      </c>
      <c r="B85" s="662" t="s">
        <v>674</v>
      </c>
      <c r="C85" s="700" t="s">
        <v>713</v>
      </c>
      <c r="D85" s="701" t="s">
        <v>829</v>
      </c>
      <c r="E85" s="702" t="s">
        <v>727</v>
      </c>
      <c r="F85" s="703">
        <v>0</v>
      </c>
      <c r="G85" s="759">
        <f>'125'!P46</f>
        <v>0</v>
      </c>
      <c r="H85" s="704" t="s">
        <v>830</v>
      </c>
    </row>
    <row r="86" spans="1:9" ht="22.5">
      <c r="A86" s="699" t="s">
        <v>2227</v>
      </c>
      <c r="B86" s="662" t="s">
        <v>1365</v>
      </c>
      <c r="C86" s="700" t="s">
        <v>713</v>
      </c>
      <c r="D86" s="701" t="s">
        <v>829</v>
      </c>
      <c r="E86" s="702" t="s">
        <v>1485</v>
      </c>
      <c r="F86" s="703">
        <v>0</v>
      </c>
      <c r="G86" s="759">
        <f>'125'!P42</f>
        <v>0</v>
      </c>
      <c r="H86" s="704" t="s">
        <v>830</v>
      </c>
    </row>
    <row r="87" spans="1:9" ht="22.5">
      <c r="A87" s="699" t="s">
        <v>2227</v>
      </c>
      <c r="B87" s="662" t="s">
        <v>655</v>
      </c>
      <c r="C87" s="700" t="s">
        <v>713</v>
      </c>
      <c r="D87" s="701" t="s">
        <v>829</v>
      </c>
      <c r="E87" s="702" t="s">
        <v>1583</v>
      </c>
      <c r="F87" s="703">
        <v>0</v>
      </c>
      <c r="G87" s="759">
        <f>'125'!P50</f>
        <v>0</v>
      </c>
      <c r="H87" s="704" t="s">
        <v>830</v>
      </c>
    </row>
    <row r="88" spans="1:9" ht="22.5">
      <c r="A88" s="699" t="s">
        <v>2227</v>
      </c>
      <c r="B88" s="662" t="s">
        <v>655</v>
      </c>
      <c r="C88" s="700" t="s">
        <v>713</v>
      </c>
      <c r="D88" s="701" t="s">
        <v>829</v>
      </c>
      <c r="E88" s="702" t="s">
        <v>725</v>
      </c>
      <c r="F88" s="703">
        <v>0</v>
      </c>
      <c r="G88" s="759">
        <f>'125'!P51</f>
        <v>0</v>
      </c>
      <c r="H88" s="704" t="s">
        <v>830</v>
      </c>
    </row>
    <row r="89" spans="1:9" ht="22.5">
      <c r="A89" s="699" t="s">
        <v>2227</v>
      </c>
      <c r="B89" s="662" t="s">
        <v>655</v>
      </c>
      <c r="C89" s="700" t="s">
        <v>21</v>
      </c>
      <c r="D89" s="701" t="s">
        <v>829</v>
      </c>
      <c r="E89" s="702" t="s">
        <v>716</v>
      </c>
      <c r="F89" s="703"/>
      <c r="G89" s="759">
        <f>'125'!P47</f>
        <v>0</v>
      </c>
      <c r="H89" s="704" t="s">
        <v>830</v>
      </c>
      <c r="I89" s="1089"/>
    </row>
    <row r="90" spans="1:9" ht="22.5">
      <c r="A90" s="699" t="s">
        <v>2227</v>
      </c>
      <c r="B90" s="662" t="s">
        <v>655</v>
      </c>
      <c r="C90" s="700" t="s">
        <v>713</v>
      </c>
      <c r="D90" s="701" t="s">
        <v>829</v>
      </c>
      <c r="E90" s="702" t="s">
        <v>715</v>
      </c>
      <c r="F90" s="703">
        <v>0</v>
      </c>
      <c r="G90" s="759">
        <f>'125'!P48</f>
        <v>9160</v>
      </c>
      <c r="H90" s="704" t="s">
        <v>830</v>
      </c>
      <c r="I90" s="758"/>
    </row>
    <row r="91" spans="1:9" ht="22.5">
      <c r="A91" s="699" t="s">
        <v>2227</v>
      </c>
      <c r="B91" s="1511" t="s">
        <v>1949</v>
      </c>
      <c r="C91" s="700" t="s">
        <v>713</v>
      </c>
      <c r="D91" s="701" t="s">
        <v>829</v>
      </c>
      <c r="E91" s="1093" t="s">
        <v>3257</v>
      </c>
      <c r="F91" s="1512"/>
      <c r="G91" s="1513">
        <f>'125'!P52</f>
        <v>0</v>
      </c>
      <c r="H91" s="704"/>
      <c r="I91" s="758"/>
    </row>
    <row r="92" spans="1:9" ht="22.5">
      <c r="A92" s="699" t="s">
        <v>2227</v>
      </c>
      <c r="B92" s="1511" t="s">
        <v>1949</v>
      </c>
      <c r="C92" s="700" t="s">
        <v>713</v>
      </c>
      <c r="D92" s="701" t="s">
        <v>829</v>
      </c>
      <c r="E92" s="702" t="s">
        <v>715</v>
      </c>
      <c r="F92" s="1512"/>
      <c r="G92" s="1513">
        <f>'125'!P54+'125'!P53</f>
        <v>167988</v>
      </c>
      <c r="H92" s="704" t="s">
        <v>830</v>
      </c>
      <c r="I92" s="758"/>
    </row>
    <row r="93" spans="1:9">
      <c r="A93" s="705" t="s">
        <v>728</v>
      </c>
      <c r="B93" s="1508" t="s">
        <v>729</v>
      </c>
      <c r="C93" s="1509" t="s">
        <v>729</v>
      </c>
      <c r="D93" s="1510" t="s">
        <v>729</v>
      </c>
      <c r="E93" s="702" t="s">
        <v>730</v>
      </c>
      <c r="F93" s="703">
        <v>0</v>
      </c>
      <c r="G93" s="759">
        <f>SUM(G56:G92)</f>
        <v>73982400.950000003</v>
      </c>
      <c r="H93" s="704" t="s">
        <v>729</v>
      </c>
    </row>
    <row r="94" spans="1:9">
      <c r="A94" s="705" t="s">
        <v>731</v>
      </c>
      <c r="B94" s="662" t="s">
        <v>702</v>
      </c>
      <c r="C94" s="700" t="s">
        <v>702</v>
      </c>
      <c r="D94" s="701" t="s">
        <v>702</v>
      </c>
      <c r="E94" s="702" t="s">
        <v>771</v>
      </c>
      <c r="F94" s="703">
        <v>0</v>
      </c>
      <c r="G94" s="759">
        <v>0</v>
      </c>
      <c r="H94" s="704" t="s">
        <v>702</v>
      </c>
    </row>
    <row r="95" spans="1:9">
      <c r="A95" s="705" t="s">
        <v>732</v>
      </c>
      <c r="B95" s="662" t="s">
        <v>702</v>
      </c>
      <c r="C95" s="700" t="s">
        <v>733</v>
      </c>
      <c r="D95" s="701" t="s">
        <v>829</v>
      </c>
      <c r="E95" s="702" t="s">
        <v>734</v>
      </c>
      <c r="F95" s="703">
        <v>0</v>
      </c>
      <c r="G95" s="759">
        <f>G93</f>
        <v>73982400.950000003</v>
      </c>
      <c r="H95" s="1519" t="s">
        <v>729</v>
      </c>
    </row>
    <row r="96" spans="1:9">
      <c r="A96" s="705" t="s">
        <v>1370</v>
      </c>
      <c r="B96" s="662" t="s">
        <v>702</v>
      </c>
      <c r="C96" s="700" t="s">
        <v>702</v>
      </c>
      <c r="D96" s="701" t="s">
        <v>702</v>
      </c>
      <c r="E96" s="702" t="s">
        <v>771</v>
      </c>
      <c r="F96" s="703">
        <v>0</v>
      </c>
      <c r="G96" s="759">
        <v>0</v>
      </c>
      <c r="H96" s="704" t="s">
        <v>702</v>
      </c>
    </row>
    <row r="97" spans="1:8">
      <c r="A97" s="705" t="s">
        <v>735</v>
      </c>
      <c r="B97" s="662" t="s">
        <v>702</v>
      </c>
      <c r="C97" s="700" t="s">
        <v>702</v>
      </c>
      <c r="D97" s="701" t="s">
        <v>702</v>
      </c>
      <c r="E97" s="702" t="s">
        <v>771</v>
      </c>
      <c r="F97" s="703">
        <v>0</v>
      </c>
      <c r="G97" s="759">
        <f>G95</f>
        <v>73982400.950000003</v>
      </c>
      <c r="H97" s="704" t="s">
        <v>702</v>
      </c>
    </row>
    <row r="98" spans="1:8" ht="12.75">
      <c r="A98" s="218" t="s">
        <v>736</v>
      </c>
      <c r="B98" s="706" t="s">
        <v>771</v>
      </c>
      <c r="C98" s="601"/>
      <c r="D98" s="601"/>
      <c r="E98" s="217" t="s">
        <v>737</v>
      </c>
      <c r="F98" s="217"/>
      <c r="G98" s="706" t="s">
        <v>771</v>
      </c>
      <c r="H98" s="601"/>
    </row>
    <row r="99" spans="1:8" ht="12.75">
      <c r="A99" s="217" t="s">
        <v>738</v>
      </c>
      <c r="B99" s="707"/>
      <c r="C99" s="707"/>
      <c r="D99" s="601"/>
      <c r="E99" s="217" t="s">
        <v>739</v>
      </c>
      <c r="F99" s="217"/>
      <c r="G99" s="707"/>
      <c r="H99" s="707"/>
    </row>
    <row r="100" spans="1:8" ht="12.75">
      <c r="A100" s="601"/>
      <c r="B100" s="601"/>
      <c r="C100" s="601"/>
      <c r="D100" s="601"/>
      <c r="E100" s="218"/>
      <c r="F100" s="218"/>
      <c r="G100" s="239"/>
      <c r="H100" s="240"/>
    </row>
    <row r="101" spans="1:8" ht="12.75">
      <c r="A101" s="601" t="s">
        <v>740</v>
      </c>
      <c r="B101" s="601"/>
      <c r="C101" s="601"/>
      <c r="D101" s="601"/>
      <c r="E101" s="218"/>
      <c r="F101" s="218"/>
      <c r="G101" s="211"/>
      <c r="H101" s="240"/>
    </row>
    <row r="102" spans="1:8" ht="12.75">
      <c r="A102" s="217" t="s">
        <v>741</v>
      </c>
      <c r="B102" s="601"/>
      <c r="C102" s="601"/>
      <c r="D102" s="601"/>
      <c r="E102" s="568"/>
      <c r="F102" s="568"/>
      <c r="G102" s="211"/>
      <c r="H102" s="240"/>
    </row>
  </sheetData>
  <mergeCells count="17">
    <mergeCell ref="A52:A54"/>
    <mergeCell ref="B52:D52"/>
    <mergeCell ref="C53:C54"/>
    <mergeCell ref="D53:D54"/>
    <mergeCell ref="A51:D51"/>
    <mergeCell ref="B46:F46"/>
    <mergeCell ref="F51:G51"/>
    <mergeCell ref="D9:F9"/>
    <mergeCell ref="B10:F10"/>
    <mergeCell ref="D11:F11"/>
    <mergeCell ref="C12:D12"/>
    <mergeCell ref="B18:D18"/>
    <mergeCell ref="A17:D17"/>
    <mergeCell ref="A18:A20"/>
    <mergeCell ref="F17:G17"/>
    <mergeCell ref="F37:G37"/>
    <mergeCell ref="B44:F44"/>
  </mergeCells>
  <phoneticPr fontId="0" type="noConversion"/>
  <pageMargins left="0.17" right="0.17" top="0.49" bottom="0.18" header="0.5" footer="0.1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Лист5">
    <pageSetUpPr fitToPage="1"/>
  </sheetPr>
  <dimension ref="A1:Q59"/>
  <sheetViews>
    <sheetView zoomScale="80" workbookViewId="0">
      <pane xSplit="9" ySplit="11" topLeftCell="J48" activePane="bottomRight" state="frozen"/>
      <selection pane="topRight" activeCell="I1" sqref="I1"/>
      <selection pane="bottomLeft" activeCell="A18" sqref="A18"/>
      <selection pane="bottomRight" activeCell="F22" sqref="F22"/>
    </sheetView>
  </sheetViews>
  <sheetFormatPr defaultRowHeight="11.25"/>
  <cols>
    <col min="1" max="1" width="15.83203125" customWidth="1"/>
    <col min="2" max="2" width="32.6640625" customWidth="1"/>
    <col min="3" max="3" width="9.33203125" customWidth="1"/>
    <col min="4" max="4" width="16.33203125" customWidth="1"/>
    <col min="5" max="5" width="14.33203125" customWidth="1"/>
    <col min="6" max="6" width="14" customWidth="1"/>
    <col min="7" max="7" width="13.83203125" customWidth="1"/>
    <col min="8" max="9" width="14.5" customWidth="1"/>
    <col min="10" max="15" width="13.6640625" customWidth="1"/>
    <col min="16" max="16" width="15" customWidth="1"/>
    <col min="17" max="17" width="15" bestFit="1" customWidth="1"/>
  </cols>
  <sheetData>
    <row r="1" spans="1:17">
      <c r="C1" s="391"/>
      <c r="D1" s="391"/>
      <c r="E1" s="391"/>
      <c r="F1" s="391"/>
      <c r="G1" s="391"/>
      <c r="H1" s="391"/>
      <c r="I1" s="391"/>
      <c r="J1" s="391"/>
      <c r="K1" s="391"/>
      <c r="L1" s="391"/>
      <c r="M1" s="391"/>
      <c r="N1" s="391"/>
      <c r="O1" s="391"/>
    </row>
    <row r="2" spans="1:17">
      <c r="A2" t="s">
        <v>1372</v>
      </c>
      <c r="D2" t="s">
        <v>1643</v>
      </c>
      <c r="E2" t="s">
        <v>1644</v>
      </c>
      <c r="F2" t="s">
        <v>662</v>
      </c>
      <c r="G2" t="s">
        <v>664</v>
      </c>
      <c r="H2" t="s">
        <v>2098</v>
      </c>
      <c r="I2" t="s">
        <v>684</v>
      </c>
      <c r="J2" t="s">
        <v>2114</v>
      </c>
      <c r="K2" t="s">
        <v>2115</v>
      </c>
      <c r="L2" t="s">
        <v>690</v>
      </c>
      <c r="M2" t="s">
        <v>2120</v>
      </c>
      <c r="N2" t="s">
        <v>1440</v>
      </c>
      <c r="O2" t="s">
        <v>1885</v>
      </c>
      <c r="P2" t="s">
        <v>779</v>
      </c>
    </row>
    <row r="3" spans="1:17" ht="12" thickBot="1">
      <c r="A3" s="12">
        <v>5510802</v>
      </c>
      <c r="B3" s="1468" t="s">
        <v>2019</v>
      </c>
      <c r="C3" s="710">
        <v>804</v>
      </c>
      <c r="D3" s="557"/>
      <c r="E3" s="557"/>
      <c r="F3" s="557"/>
      <c r="G3" s="557"/>
      <c r="H3" s="557"/>
      <c r="I3" s="558"/>
      <c r="J3" s="558"/>
      <c r="K3" s="1903"/>
      <c r="L3" s="557"/>
      <c r="M3" s="557"/>
      <c r="N3" s="557"/>
      <c r="O3" s="557"/>
      <c r="P3" s="1466">
        <f t="shared" ref="P3:P56" si="0">SUM(D3:O3)</f>
        <v>0</v>
      </c>
    </row>
    <row r="4" spans="1:17" ht="12" thickBot="1">
      <c r="A4" s="12">
        <v>5510100</v>
      </c>
      <c r="B4" s="1469" t="s">
        <v>1783</v>
      </c>
      <c r="C4" s="711">
        <v>804</v>
      </c>
      <c r="D4" s="708"/>
      <c r="E4" s="708"/>
      <c r="F4" s="708"/>
      <c r="G4" s="708"/>
      <c r="H4" s="708"/>
      <c r="I4" s="709"/>
      <c r="J4" s="709"/>
      <c r="K4" s="557"/>
      <c r="L4" s="557"/>
      <c r="M4" s="557"/>
      <c r="N4" s="557"/>
      <c r="O4" s="557"/>
      <c r="P4" s="1467">
        <f t="shared" si="0"/>
        <v>0</v>
      </c>
      <c r="Q4" s="10"/>
    </row>
    <row r="5" spans="1:17">
      <c r="A5" s="12" t="s">
        <v>3297</v>
      </c>
      <c r="B5" s="1469" t="s">
        <v>691</v>
      </c>
      <c r="C5" s="711">
        <v>804</v>
      </c>
      <c r="D5" s="708">
        <v>145666.67000000001</v>
      </c>
      <c r="E5" s="708">
        <v>145666.67000000001</v>
      </c>
      <c r="F5" s="708">
        <v>145666.66</v>
      </c>
      <c r="G5" s="708"/>
      <c r="H5" s="708"/>
      <c r="I5" s="709"/>
      <c r="J5" s="709"/>
      <c r="K5" s="557"/>
      <c r="L5" s="557"/>
      <c r="M5" s="557"/>
      <c r="N5" s="557"/>
      <c r="O5" s="557"/>
      <c r="P5" s="1764">
        <f t="shared" si="0"/>
        <v>437000</v>
      </c>
      <c r="Q5" s="10"/>
    </row>
    <row r="6" spans="1:17" ht="12" thickBot="1">
      <c r="A6" s="12"/>
      <c r="B6" s="1470" t="s">
        <v>66</v>
      </c>
      <c r="C6" s="713">
        <v>804</v>
      </c>
      <c r="D6" s="714">
        <f>SUM(D3:D5)</f>
        <v>145666.67000000001</v>
      </c>
      <c r="E6" s="714">
        <f t="shared" ref="E6:O6" si="1">SUM(E3:E5)</f>
        <v>145666.67000000001</v>
      </c>
      <c r="F6" s="714">
        <f t="shared" si="1"/>
        <v>145666.66</v>
      </c>
      <c r="G6" s="714">
        <f t="shared" si="1"/>
        <v>0</v>
      </c>
      <c r="H6" s="714">
        <f t="shared" si="1"/>
        <v>0</v>
      </c>
      <c r="I6" s="714">
        <f t="shared" si="1"/>
        <v>0</v>
      </c>
      <c r="J6" s="714">
        <f t="shared" si="1"/>
        <v>0</v>
      </c>
      <c r="K6" s="714">
        <f t="shared" si="1"/>
        <v>0</v>
      </c>
      <c r="L6" s="714">
        <f t="shared" si="1"/>
        <v>0</v>
      </c>
      <c r="M6" s="714">
        <f t="shared" si="1"/>
        <v>0</v>
      </c>
      <c r="N6" s="714">
        <f t="shared" si="1"/>
        <v>0</v>
      </c>
      <c r="O6" s="714">
        <f t="shared" si="1"/>
        <v>0</v>
      </c>
      <c r="P6" s="1765">
        <f t="shared" si="0"/>
        <v>437000</v>
      </c>
      <c r="Q6" s="10"/>
    </row>
    <row r="7" spans="1:17" ht="12" thickBot="1">
      <c r="A7" s="927" t="s">
        <v>3294</v>
      </c>
      <c r="B7" s="1471" t="s">
        <v>1594</v>
      </c>
      <c r="C7" s="12">
        <v>806</v>
      </c>
      <c r="D7" s="8">
        <v>1909371.37</v>
      </c>
      <c r="E7" s="8">
        <v>1051739.42</v>
      </c>
      <c r="F7" s="8">
        <v>1054200</v>
      </c>
      <c r="G7" s="8"/>
      <c r="H7" s="8"/>
      <c r="I7" s="353"/>
      <c r="J7" s="353"/>
      <c r="K7" s="8"/>
      <c r="L7" s="8"/>
      <c r="M7" s="8"/>
      <c r="N7" s="8"/>
      <c r="O7" s="8"/>
      <c r="P7" s="1766">
        <f t="shared" si="0"/>
        <v>4015310.79</v>
      </c>
    </row>
    <row r="8" spans="1:17" ht="12" thickBot="1">
      <c r="A8" s="12">
        <v>35330173030</v>
      </c>
      <c r="B8" s="1471" t="s">
        <v>3296</v>
      </c>
      <c r="C8" s="12">
        <v>806</v>
      </c>
      <c r="D8" s="8">
        <v>62577.81</v>
      </c>
      <c r="E8" s="8">
        <v>62577.82</v>
      </c>
      <c r="F8" s="8">
        <v>62577.8</v>
      </c>
      <c r="G8" s="8"/>
      <c r="H8" s="8"/>
      <c r="I8" s="353"/>
      <c r="J8" s="353"/>
      <c r="K8" s="8"/>
      <c r="L8" s="8"/>
      <c r="M8" s="8"/>
      <c r="N8" s="8"/>
      <c r="O8" s="8"/>
      <c r="P8" s="1766">
        <f t="shared" si="0"/>
        <v>187733.43</v>
      </c>
    </row>
    <row r="9" spans="1:17" ht="12" thickBot="1">
      <c r="A9" s="12">
        <v>5350573050</v>
      </c>
      <c r="B9" s="1471" t="s">
        <v>2218</v>
      </c>
      <c r="C9" s="12">
        <v>806</v>
      </c>
      <c r="D9" s="8">
        <v>80000</v>
      </c>
      <c r="E9" s="8">
        <v>80000</v>
      </c>
      <c r="F9" s="8"/>
      <c r="G9" s="8"/>
      <c r="H9" s="8"/>
      <c r="I9" s="353"/>
      <c r="J9" s="353"/>
      <c r="K9" s="8"/>
      <c r="L9" s="8"/>
      <c r="M9" s="8"/>
      <c r="N9" s="8"/>
      <c r="O9" s="8"/>
      <c r="P9" s="1766">
        <f t="shared" si="0"/>
        <v>160000</v>
      </c>
    </row>
    <row r="10" spans="1:17" ht="23.25" thickBot="1">
      <c r="A10" s="12">
        <v>5351673060</v>
      </c>
      <c r="B10" s="1472" t="s">
        <v>2219</v>
      </c>
      <c r="C10" s="12">
        <v>806</v>
      </c>
      <c r="D10" s="8">
        <v>64842.9</v>
      </c>
      <c r="E10" s="8">
        <v>64842.89</v>
      </c>
      <c r="F10" s="8">
        <v>67042.91</v>
      </c>
      <c r="G10" s="8"/>
      <c r="H10" s="8"/>
      <c r="I10" s="353"/>
      <c r="J10" s="353"/>
      <c r="K10" s="8"/>
      <c r="L10" s="8"/>
      <c r="M10" s="8"/>
      <c r="N10" s="8"/>
      <c r="O10" s="8"/>
      <c r="P10" s="1766">
        <f t="shared" si="0"/>
        <v>196728.7</v>
      </c>
    </row>
    <row r="11" spans="1:17" ht="23.25" thickBot="1">
      <c r="A11" s="12">
        <v>5340200</v>
      </c>
      <c r="B11" s="1472" t="s">
        <v>2829</v>
      </c>
      <c r="C11" s="12">
        <v>806</v>
      </c>
      <c r="D11" s="8"/>
      <c r="E11" s="8"/>
      <c r="F11" s="8"/>
      <c r="G11" s="8"/>
      <c r="H11" s="8"/>
      <c r="I11" s="353"/>
      <c r="J11" s="353"/>
      <c r="K11" s="353"/>
      <c r="L11" s="353"/>
      <c r="M11" s="353"/>
      <c r="N11" s="353"/>
      <c r="O11" s="353"/>
      <c r="P11" s="1766">
        <f t="shared" si="0"/>
        <v>0</v>
      </c>
    </row>
    <row r="12" spans="1:17" ht="45.75" thickBot="1">
      <c r="A12" s="12"/>
      <c r="B12" s="1472" t="s">
        <v>742</v>
      </c>
      <c r="C12" s="12">
        <v>806</v>
      </c>
      <c r="D12" s="8"/>
      <c r="E12" s="8"/>
      <c r="F12" s="8"/>
      <c r="G12" s="8"/>
      <c r="H12" s="8"/>
      <c r="I12" s="353"/>
      <c r="J12" s="353"/>
      <c r="K12" s="353"/>
      <c r="L12" s="353"/>
      <c r="M12" s="353"/>
      <c r="N12" s="353"/>
      <c r="O12" s="353"/>
      <c r="P12" s="1766">
        <f t="shared" si="0"/>
        <v>0</v>
      </c>
      <c r="Q12" s="10"/>
    </row>
    <row r="13" spans="1:17" ht="12" thickBot="1">
      <c r="A13" s="12"/>
      <c r="B13" s="1473" t="s">
        <v>66</v>
      </c>
      <c r="C13" s="716">
        <v>806</v>
      </c>
      <c r="D13" s="717">
        <f>SUM(D7:D12)</f>
        <v>2116792.08</v>
      </c>
      <c r="E13" s="717">
        <f>SUM(E7:E12)</f>
        <v>1259160.1299999999</v>
      </c>
      <c r="F13" s="717">
        <f>SUM(F7:F12)</f>
        <v>1183820.71</v>
      </c>
      <c r="G13" s="717">
        <f>SUM(G7:G12)</f>
        <v>0</v>
      </c>
      <c r="H13" s="717">
        <f>SUM(H7:H12)</f>
        <v>0</v>
      </c>
      <c r="I13" s="717">
        <f t="shared" ref="I13:O13" si="2">SUM(I7:I12)</f>
        <v>0</v>
      </c>
      <c r="J13" s="717">
        <f t="shared" si="2"/>
        <v>0</v>
      </c>
      <c r="K13" s="717">
        <f t="shared" si="2"/>
        <v>0</v>
      </c>
      <c r="L13" s="717">
        <f t="shared" si="2"/>
        <v>0</v>
      </c>
      <c r="M13" s="717">
        <f t="shared" si="2"/>
        <v>0</v>
      </c>
      <c r="N13" s="717">
        <f t="shared" si="2"/>
        <v>0</v>
      </c>
      <c r="O13" s="717">
        <f t="shared" si="2"/>
        <v>0</v>
      </c>
      <c r="P13" s="1766">
        <f t="shared" si="0"/>
        <v>4559772.92</v>
      </c>
    </row>
    <row r="14" spans="1:17" ht="30" customHeight="1" thickBot="1">
      <c r="A14" s="12"/>
      <c r="B14" s="1474" t="s">
        <v>743</v>
      </c>
      <c r="C14" s="710">
        <v>807</v>
      </c>
      <c r="D14" s="557"/>
      <c r="E14" s="557"/>
      <c r="F14" s="557"/>
      <c r="G14" s="557"/>
      <c r="H14" s="557"/>
      <c r="I14" s="558"/>
      <c r="J14" s="558"/>
      <c r="K14" s="557"/>
      <c r="L14" s="557"/>
      <c r="M14" s="557"/>
      <c r="N14" s="557"/>
      <c r="O14" s="557"/>
      <c r="P14" s="1766">
        <f t="shared" si="0"/>
        <v>0</v>
      </c>
    </row>
    <row r="15" spans="1:17" ht="12" thickBot="1">
      <c r="A15" s="12">
        <v>5111373020</v>
      </c>
      <c r="B15" s="1474" t="s">
        <v>744</v>
      </c>
      <c r="C15" s="710">
        <v>807</v>
      </c>
      <c r="D15" s="557">
        <v>2808400</v>
      </c>
      <c r="E15" s="557">
        <v>6969100</v>
      </c>
      <c r="F15" s="557">
        <v>7875100</v>
      </c>
      <c r="G15" s="557"/>
      <c r="H15" s="557"/>
      <c r="I15" s="558"/>
      <c r="J15" s="558"/>
      <c r="K15" s="557"/>
      <c r="L15" s="557"/>
      <c r="M15" s="557"/>
      <c r="N15" s="557"/>
      <c r="O15" s="557"/>
      <c r="P15" s="1766">
        <f t="shared" si="0"/>
        <v>17652600</v>
      </c>
    </row>
    <row r="16" spans="1:17" ht="30.75" customHeight="1" thickBot="1">
      <c r="A16" s="1902">
        <v>5385027</v>
      </c>
      <c r="B16" s="1901" t="s">
        <v>2978</v>
      </c>
      <c r="C16" s="710">
        <v>807</v>
      </c>
      <c r="D16" s="557"/>
      <c r="E16" s="557"/>
      <c r="F16" s="557"/>
      <c r="G16" s="557"/>
      <c r="H16" s="557"/>
      <c r="I16" s="558"/>
      <c r="J16" s="558"/>
      <c r="K16" s="557"/>
      <c r="L16" s="557"/>
      <c r="M16" s="557"/>
      <c r="N16" s="557"/>
      <c r="O16" s="557"/>
      <c r="P16" s="1766">
        <f t="shared" si="0"/>
        <v>0</v>
      </c>
    </row>
    <row r="17" spans="1:17" ht="12" thickBot="1">
      <c r="A17" s="12">
        <v>5111373010</v>
      </c>
      <c r="B17" s="1468" t="s">
        <v>0</v>
      </c>
      <c r="C17" s="710">
        <v>807</v>
      </c>
      <c r="D17" s="557">
        <v>2121000</v>
      </c>
      <c r="E17" s="557">
        <v>2460850</v>
      </c>
      <c r="F17" s="557">
        <v>3383850</v>
      </c>
      <c r="G17" s="557"/>
      <c r="H17" s="557"/>
      <c r="I17" s="558"/>
      <c r="J17" s="558"/>
      <c r="K17" s="557"/>
      <c r="L17" s="557"/>
      <c r="M17" s="557"/>
      <c r="N17" s="557"/>
      <c r="O17" s="557"/>
      <c r="P17" s="1766">
        <f t="shared" si="0"/>
        <v>7965700</v>
      </c>
      <c r="Q17" s="10"/>
    </row>
    <row r="18" spans="1:17" ht="12" thickBot="1">
      <c r="A18" s="12"/>
      <c r="B18" s="1475" t="s">
        <v>66</v>
      </c>
      <c r="C18" s="716">
        <v>807</v>
      </c>
      <c r="D18" s="717">
        <f>SUM(D14:D17)</f>
        <v>4929400</v>
      </c>
      <c r="E18" s="717">
        <f>SUM(E14:E17)</f>
        <v>9429950</v>
      </c>
      <c r="F18" s="717">
        <f t="shared" ref="F18:O18" si="3">SUM(F14:F17)</f>
        <v>11258950</v>
      </c>
      <c r="G18" s="717">
        <f t="shared" si="3"/>
        <v>0</v>
      </c>
      <c r="H18" s="717">
        <f t="shared" si="3"/>
        <v>0</v>
      </c>
      <c r="I18" s="717">
        <f t="shared" si="3"/>
        <v>0</v>
      </c>
      <c r="J18" s="717">
        <f t="shared" si="3"/>
        <v>0</v>
      </c>
      <c r="K18" s="717">
        <f t="shared" si="3"/>
        <v>0</v>
      </c>
      <c r="L18" s="717">
        <f t="shared" si="3"/>
        <v>0</v>
      </c>
      <c r="M18" s="717">
        <f t="shared" si="3"/>
        <v>0</v>
      </c>
      <c r="N18" s="717">
        <f t="shared" si="3"/>
        <v>0</v>
      </c>
      <c r="O18" s="717">
        <f t="shared" si="3"/>
        <v>0</v>
      </c>
      <c r="P18" s="1766">
        <f t="shared" si="0"/>
        <v>25618300</v>
      </c>
    </row>
    <row r="19" spans="1:17" ht="12" thickBot="1">
      <c r="A19" s="12">
        <v>6030105</v>
      </c>
      <c r="B19" s="1468" t="s">
        <v>2839</v>
      </c>
      <c r="C19" s="710">
        <v>810</v>
      </c>
      <c r="D19" s="557"/>
      <c r="E19" s="557"/>
      <c r="F19" s="557"/>
      <c r="G19" s="557"/>
      <c r="H19" s="557"/>
      <c r="I19" s="558"/>
      <c r="J19" s="558"/>
      <c r="K19" s="557"/>
      <c r="L19" s="557"/>
      <c r="M19" s="557"/>
      <c r="N19" s="557"/>
      <c r="O19" s="557"/>
      <c r="P19" s="1766">
        <f t="shared" si="0"/>
        <v>0</v>
      </c>
    </row>
    <row r="20" spans="1:17" ht="12" thickBot="1">
      <c r="A20" s="12">
        <v>6035118</v>
      </c>
      <c r="B20" s="1468" t="s">
        <v>745</v>
      </c>
      <c r="C20" s="710">
        <v>810</v>
      </c>
      <c r="D20" s="557"/>
      <c r="E20" s="557">
        <v>47262.67</v>
      </c>
      <c r="F20" s="557">
        <v>59892.36</v>
      </c>
      <c r="G20" s="557"/>
      <c r="H20" s="557"/>
      <c r="I20" s="558"/>
      <c r="J20" s="558"/>
      <c r="K20" s="557"/>
      <c r="L20" s="557"/>
      <c r="M20" s="557"/>
      <c r="N20" s="557"/>
      <c r="O20" s="557"/>
      <c r="P20" s="1766">
        <f t="shared" si="0"/>
        <v>107155.03</v>
      </c>
    </row>
    <row r="21" spans="1:17" ht="12" thickBot="1">
      <c r="A21" s="12"/>
      <c r="B21" s="1476" t="s">
        <v>746</v>
      </c>
      <c r="C21" s="12">
        <v>810</v>
      </c>
      <c r="D21" s="8">
        <v>3682000</v>
      </c>
      <c r="E21" s="8">
        <v>3682000</v>
      </c>
      <c r="F21" s="8">
        <v>3682000</v>
      </c>
      <c r="G21" s="8"/>
      <c r="H21" s="8"/>
      <c r="I21" s="353"/>
      <c r="J21" s="353"/>
      <c r="K21" s="8"/>
      <c r="L21" s="8"/>
      <c r="M21" s="8"/>
      <c r="N21" s="395"/>
      <c r="O21" s="8"/>
      <c r="P21" s="1766">
        <f t="shared" si="0"/>
        <v>11046000</v>
      </c>
    </row>
    <row r="22" spans="1:17" ht="12" thickBot="1">
      <c r="A22" s="12">
        <v>703017020</v>
      </c>
      <c r="B22" s="1471" t="s">
        <v>1291</v>
      </c>
      <c r="C22" s="12">
        <v>810</v>
      </c>
      <c r="D22" s="8">
        <v>9095800</v>
      </c>
      <c r="E22" s="8">
        <v>7450000</v>
      </c>
      <c r="F22" s="8">
        <v>12659200</v>
      </c>
      <c r="G22" s="8"/>
      <c r="H22" s="8"/>
      <c r="I22" s="353"/>
      <c r="J22" s="353"/>
      <c r="K22" s="8"/>
      <c r="L22" s="8"/>
      <c r="M22" s="8"/>
      <c r="N22" s="8"/>
      <c r="O22" s="8"/>
      <c r="P22" s="1766">
        <f t="shared" si="0"/>
        <v>29205000</v>
      </c>
    </row>
    <row r="23" spans="1:17" ht="12" thickBot="1">
      <c r="A23" s="12"/>
      <c r="B23" s="1471" t="s">
        <v>764</v>
      </c>
      <c r="C23" s="12">
        <v>810</v>
      </c>
      <c r="D23" s="8"/>
      <c r="E23" s="8"/>
      <c r="F23" s="8"/>
      <c r="G23" s="8"/>
      <c r="H23" s="8"/>
      <c r="I23" s="353"/>
      <c r="J23" s="353"/>
      <c r="K23" s="8"/>
      <c r="L23" s="8"/>
      <c r="M23" s="8"/>
      <c r="N23" s="8"/>
      <c r="O23" s="8"/>
      <c r="P23" s="1766">
        <f t="shared" si="0"/>
        <v>0</v>
      </c>
      <c r="Q23" s="10"/>
    </row>
    <row r="24" spans="1:17" ht="12" thickBot="1">
      <c r="A24" s="12"/>
      <c r="B24" s="1471" t="s">
        <v>1467</v>
      </c>
      <c r="C24" s="12">
        <v>810</v>
      </c>
      <c r="D24" s="8"/>
      <c r="E24" s="8"/>
      <c r="F24" s="8"/>
      <c r="G24" s="8"/>
      <c r="H24" s="8"/>
      <c r="I24" s="353"/>
      <c r="J24" s="353"/>
      <c r="K24" s="8"/>
      <c r="L24" s="8"/>
      <c r="M24" s="8"/>
      <c r="N24" s="8"/>
      <c r="O24" s="8"/>
      <c r="P24" s="1766">
        <f t="shared" si="0"/>
        <v>0</v>
      </c>
    </row>
    <row r="25" spans="1:17" ht="12" thickBot="1">
      <c r="A25" s="12"/>
      <c r="B25" s="1471" t="s">
        <v>331</v>
      </c>
      <c r="C25" s="12">
        <v>810</v>
      </c>
      <c r="D25" s="8"/>
      <c r="E25" s="8"/>
      <c r="F25" s="8"/>
      <c r="G25" s="8"/>
      <c r="H25" s="8"/>
      <c r="I25" s="353"/>
      <c r="J25" s="353"/>
      <c r="K25" s="8"/>
      <c r="L25" s="8"/>
      <c r="M25" s="8"/>
      <c r="N25" s="8"/>
      <c r="O25" s="8"/>
      <c r="P25" s="1766">
        <f t="shared" si="0"/>
        <v>0</v>
      </c>
    </row>
    <row r="26" spans="1:17" ht="12" thickBot="1">
      <c r="A26" s="12"/>
      <c r="B26" s="1471" t="s">
        <v>1592</v>
      </c>
      <c r="C26" s="12">
        <v>810</v>
      </c>
      <c r="D26" s="8"/>
      <c r="E26" s="8"/>
      <c r="F26" s="8"/>
      <c r="G26" s="8"/>
      <c r="H26" s="8"/>
      <c r="I26" s="353"/>
      <c r="J26" s="353"/>
      <c r="K26" s="8"/>
      <c r="L26" s="8"/>
      <c r="M26" s="8"/>
      <c r="N26" s="8"/>
      <c r="O26" s="8"/>
      <c r="P26" s="1766">
        <f t="shared" si="0"/>
        <v>0</v>
      </c>
    </row>
    <row r="27" spans="1:17" ht="23.25" thickBot="1">
      <c r="A27" s="12">
        <v>7020102</v>
      </c>
      <c r="B27" s="1472" t="s">
        <v>98</v>
      </c>
      <c r="C27" s="12">
        <v>810</v>
      </c>
      <c r="D27" s="8"/>
      <c r="E27" s="8"/>
      <c r="F27" s="8"/>
      <c r="G27" s="8"/>
      <c r="H27" s="8"/>
      <c r="I27" s="353"/>
      <c r="J27" s="353"/>
      <c r="K27" s="8"/>
      <c r="L27" s="8"/>
      <c r="M27" s="8"/>
      <c r="N27" s="8"/>
      <c r="O27" s="8"/>
      <c r="P27" s="1766">
        <f t="shared" si="0"/>
        <v>0</v>
      </c>
    </row>
    <row r="28" spans="1:17" ht="12" thickBot="1">
      <c r="A28" s="12"/>
      <c r="B28" s="1471" t="s">
        <v>1593</v>
      </c>
      <c r="C28" s="12">
        <v>810</v>
      </c>
      <c r="D28" s="8"/>
      <c r="E28" s="8"/>
      <c r="F28" s="8"/>
      <c r="G28" s="8"/>
      <c r="H28" s="8"/>
      <c r="I28" s="353"/>
      <c r="J28" s="353"/>
      <c r="K28" s="8"/>
      <c r="L28" s="8"/>
      <c r="M28" s="8"/>
      <c r="N28" s="8"/>
      <c r="O28" s="8"/>
      <c r="P28" s="1766">
        <f t="shared" si="0"/>
        <v>0</v>
      </c>
    </row>
    <row r="29" spans="1:17" ht="12" thickBot="1">
      <c r="A29" s="12"/>
      <c r="B29" s="1471" t="s">
        <v>2094</v>
      </c>
      <c r="C29" s="12">
        <v>810</v>
      </c>
      <c r="D29" s="8"/>
      <c r="E29" s="8"/>
      <c r="F29" s="8"/>
      <c r="G29" s="8"/>
      <c r="H29" s="8"/>
      <c r="I29" s="353"/>
      <c r="J29" s="353"/>
      <c r="K29" s="8"/>
      <c r="L29" s="8"/>
      <c r="M29" s="8"/>
      <c r="N29" s="8"/>
      <c r="O29" s="8"/>
      <c r="P29" s="1766">
        <f t="shared" si="0"/>
        <v>0</v>
      </c>
      <c r="Q29" s="10"/>
    </row>
    <row r="30" spans="1:17" ht="12" thickBot="1">
      <c r="A30" s="12">
        <v>7030172600</v>
      </c>
      <c r="B30" s="1471" t="s">
        <v>360</v>
      </c>
      <c r="C30" s="12">
        <v>810</v>
      </c>
      <c r="D30" s="8">
        <v>2624000</v>
      </c>
      <c r="E30" s="8"/>
      <c r="F30" s="8"/>
      <c r="G30" s="8"/>
      <c r="H30" s="8"/>
      <c r="I30" s="353"/>
      <c r="J30" s="353"/>
      <c r="K30" s="8"/>
      <c r="L30" s="8"/>
      <c r="M30" s="8"/>
      <c r="N30" s="8"/>
      <c r="O30" s="8"/>
      <c r="P30" s="1766">
        <f t="shared" si="0"/>
        <v>2624000</v>
      </c>
    </row>
    <row r="31" spans="1:17" ht="12" thickBot="1">
      <c r="A31" s="12"/>
      <c r="B31" s="1471" t="s">
        <v>327</v>
      </c>
      <c r="C31" s="12">
        <v>810</v>
      </c>
      <c r="D31" s="8"/>
      <c r="E31" s="8"/>
      <c r="F31" s="8"/>
      <c r="G31" s="8"/>
      <c r="H31" s="8"/>
      <c r="I31" s="353"/>
      <c r="J31" s="353"/>
      <c r="K31" s="8"/>
      <c r="L31" s="8"/>
      <c r="M31" s="8"/>
      <c r="N31" s="8"/>
      <c r="O31" s="8"/>
      <c r="P31" s="1766">
        <f t="shared" si="0"/>
        <v>0</v>
      </c>
      <c r="Q31" s="10"/>
    </row>
    <row r="32" spans="1:17" ht="12" thickBot="1">
      <c r="A32" s="12"/>
      <c r="B32" s="1475" t="s">
        <v>66</v>
      </c>
      <c r="C32" s="716">
        <v>810</v>
      </c>
      <c r="D32" s="717">
        <f>SUM(D19:D31)</f>
        <v>15401800</v>
      </c>
      <c r="E32" s="717">
        <f t="shared" ref="E32:O32" si="4">SUM(E19:E31)</f>
        <v>11179262.67</v>
      </c>
      <c r="F32" s="717">
        <f t="shared" si="4"/>
        <v>16401092.359999999</v>
      </c>
      <c r="G32" s="717">
        <f t="shared" si="4"/>
        <v>0</v>
      </c>
      <c r="H32" s="717">
        <f t="shared" si="4"/>
        <v>0</v>
      </c>
      <c r="I32" s="717">
        <f t="shared" si="4"/>
        <v>0</v>
      </c>
      <c r="J32" s="717">
        <f t="shared" si="4"/>
        <v>0</v>
      </c>
      <c r="K32" s="717">
        <f t="shared" si="4"/>
        <v>0</v>
      </c>
      <c r="L32" s="717">
        <f t="shared" si="4"/>
        <v>0</v>
      </c>
      <c r="M32" s="717">
        <f t="shared" si="4"/>
        <v>0</v>
      </c>
      <c r="N32" s="717">
        <f t="shared" si="4"/>
        <v>0</v>
      </c>
      <c r="O32" s="717">
        <f t="shared" si="4"/>
        <v>0</v>
      </c>
      <c r="P32" s="1766">
        <f t="shared" si="0"/>
        <v>42982155.030000001</v>
      </c>
    </row>
    <row r="33" spans="1:17" ht="23.25" thickBot="1">
      <c r="A33" s="12">
        <v>6110104</v>
      </c>
      <c r="B33" s="1474" t="s">
        <v>1374</v>
      </c>
      <c r="C33" s="710">
        <v>812</v>
      </c>
      <c r="D33" s="557"/>
      <c r="E33" s="557"/>
      <c r="F33" s="557"/>
      <c r="G33" s="557"/>
      <c r="H33" s="557"/>
      <c r="I33" s="558"/>
      <c r="J33" s="558"/>
      <c r="K33" s="558"/>
      <c r="L33" s="558"/>
      <c r="M33" s="558"/>
      <c r="N33" s="558"/>
      <c r="O33" s="558"/>
      <c r="P33" s="1766">
        <f t="shared" si="0"/>
        <v>0</v>
      </c>
    </row>
    <row r="34" spans="1:17" ht="12" thickBot="1">
      <c r="A34" s="12">
        <v>6170302</v>
      </c>
      <c r="B34" s="1468" t="s">
        <v>338</v>
      </c>
      <c r="C34" s="710">
        <v>812</v>
      </c>
      <c r="D34" s="557"/>
      <c r="E34" s="557"/>
      <c r="F34" s="557"/>
      <c r="G34" s="557"/>
      <c r="H34" s="557"/>
      <c r="I34" s="558"/>
      <c r="J34" s="558"/>
      <c r="K34" s="558"/>
      <c r="L34" s="558"/>
      <c r="M34" s="558"/>
      <c r="N34" s="558"/>
      <c r="O34" s="558"/>
      <c r="P34" s="1766">
        <f t="shared" si="0"/>
        <v>0</v>
      </c>
    </row>
    <row r="35" spans="1:17" ht="12" thickBot="1">
      <c r="A35" s="12"/>
      <c r="B35" s="1477" t="s">
        <v>2018</v>
      </c>
      <c r="C35" s="710">
        <v>812</v>
      </c>
      <c r="D35" s="557"/>
      <c r="E35" s="557"/>
      <c r="F35" s="557"/>
      <c r="G35" s="557"/>
      <c r="H35" s="557"/>
      <c r="I35" s="558"/>
      <c r="J35" s="558"/>
      <c r="K35" s="557"/>
      <c r="L35" s="557"/>
      <c r="M35" s="557"/>
      <c r="N35" s="557"/>
      <c r="O35" s="557"/>
      <c r="P35" s="1766">
        <f t="shared" si="0"/>
        <v>0</v>
      </c>
      <c r="Q35" s="10"/>
    </row>
    <row r="36" spans="1:17" ht="12" thickBot="1">
      <c r="A36" s="12"/>
      <c r="B36" s="1478" t="s">
        <v>66</v>
      </c>
      <c r="C36" s="716">
        <v>812</v>
      </c>
      <c r="D36" s="717">
        <f>SUM(D33:D35)</f>
        <v>0</v>
      </c>
      <c r="E36" s="717">
        <f t="shared" ref="E36:O36" si="5">SUM(E33:E35)</f>
        <v>0</v>
      </c>
      <c r="F36" s="717">
        <f t="shared" si="5"/>
        <v>0</v>
      </c>
      <c r="G36" s="717">
        <f t="shared" si="5"/>
        <v>0</v>
      </c>
      <c r="H36" s="717">
        <f t="shared" si="5"/>
        <v>0</v>
      </c>
      <c r="I36" s="717">
        <f t="shared" si="5"/>
        <v>0</v>
      </c>
      <c r="J36" s="717">
        <f t="shared" si="5"/>
        <v>0</v>
      </c>
      <c r="K36" s="717">
        <f t="shared" si="5"/>
        <v>0</v>
      </c>
      <c r="L36" s="717">
        <f t="shared" si="5"/>
        <v>0</v>
      </c>
      <c r="M36" s="717">
        <f t="shared" si="5"/>
        <v>0</v>
      </c>
      <c r="N36" s="717">
        <f t="shared" si="5"/>
        <v>0</v>
      </c>
      <c r="O36" s="717">
        <f t="shared" si="5"/>
        <v>0</v>
      </c>
      <c r="P36" s="1766">
        <f t="shared" si="0"/>
        <v>0</v>
      </c>
      <c r="Q36">
        <v>0</v>
      </c>
    </row>
    <row r="37" spans="1:17" ht="12" thickBot="1">
      <c r="A37" s="12"/>
      <c r="B37" s="1478" t="s">
        <v>302</v>
      </c>
      <c r="C37" s="716">
        <v>814</v>
      </c>
      <c r="D37" s="717"/>
      <c r="E37" s="717"/>
      <c r="F37" s="717"/>
      <c r="G37" s="717"/>
      <c r="H37" s="717"/>
      <c r="I37" s="718"/>
      <c r="J37" s="718"/>
      <c r="K37" s="717"/>
      <c r="L37" s="717"/>
      <c r="M37" s="717"/>
      <c r="N37" s="717"/>
      <c r="O37" s="717"/>
      <c r="P37" s="1766">
        <f t="shared" si="0"/>
        <v>0</v>
      </c>
    </row>
    <row r="38" spans="1:17" ht="12" thickBot="1">
      <c r="A38" s="12">
        <v>5111700</v>
      </c>
      <c r="B38" s="1479" t="s">
        <v>1951</v>
      </c>
      <c r="C38" s="728">
        <v>814</v>
      </c>
      <c r="D38" s="726"/>
      <c r="E38" s="726"/>
      <c r="F38" s="726"/>
      <c r="G38" s="726"/>
      <c r="H38" s="726"/>
      <c r="I38" s="727"/>
      <c r="J38" s="727"/>
      <c r="K38" s="726"/>
      <c r="L38" s="726"/>
      <c r="M38" s="726"/>
      <c r="N38" s="726"/>
      <c r="O38" s="726"/>
      <c r="P38" s="1767">
        <f t="shared" si="0"/>
        <v>0</v>
      </c>
    </row>
    <row r="39" spans="1:17" ht="12" thickBot="1">
      <c r="A39" s="12"/>
      <c r="B39" s="1479" t="s">
        <v>1327</v>
      </c>
      <c r="C39" s="728">
        <v>814</v>
      </c>
      <c r="D39" s="726"/>
      <c r="E39" s="726"/>
      <c r="F39" s="726"/>
      <c r="G39" s="726"/>
      <c r="H39" s="726"/>
      <c r="I39" s="727"/>
      <c r="J39" s="727"/>
      <c r="K39" s="726"/>
      <c r="L39" s="726"/>
      <c r="M39" s="726"/>
      <c r="N39" s="726"/>
      <c r="O39" s="726"/>
      <c r="P39" s="1767">
        <f t="shared" si="0"/>
        <v>0</v>
      </c>
    </row>
    <row r="40" spans="1:17" ht="12" thickBot="1">
      <c r="A40" s="12"/>
      <c r="B40" s="1479" t="s">
        <v>337</v>
      </c>
      <c r="C40" s="728">
        <v>814</v>
      </c>
      <c r="D40" s="726"/>
      <c r="E40" s="726"/>
      <c r="F40" s="726"/>
      <c r="G40" s="726"/>
      <c r="H40" s="726"/>
      <c r="I40" s="727"/>
      <c r="J40" s="727"/>
      <c r="K40" s="726"/>
      <c r="L40" s="726"/>
      <c r="M40" s="726"/>
      <c r="N40" s="726"/>
      <c r="O40" s="726"/>
      <c r="P40" s="1767">
        <f t="shared" si="0"/>
        <v>0</v>
      </c>
    </row>
    <row r="41" spans="1:17" ht="12" thickBot="1">
      <c r="A41" s="12"/>
      <c r="B41" s="1478" t="s">
        <v>66</v>
      </c>
      <c r="C41" s="716">
        <v>814</v>
      </c>
      <c r="D41" s="718">
        <f>D38+D40+D37</f>
        <v>0</v>
      </c>
      <c r="E41" s="718">
        <f>E38+E40+E37</f>
        <v>0</v>
      </c>
      <c r="F41" s="718">
        <f>F38+F40+F37</f>
        <v>0</v>
      </c>
      <c r="G41" s="718">
        <f>G38+G40+G37</f>
        <v>0</v>
      </c>
      <c r="H41" s="718">
        <f>H38+H40+H37</f>
        <v>0</v>
      </c>
      <c r="I41" s="718">
        <f t="shared" ref="I41:O41" si="6">I38+I40+I37</f>
        <v>0</v>
      </c>
      <c r="J41" s="718">
        <f t="shared" si="6"/>
        <v>0</v>
      </c>
      <c r="K41" s="718">
        <f t="shared" si="6"/>
        <v>0</v>
      </c>
      <c r="L41" s="718">
        <f t="shared" si="6"/>
        <v>0</v>
      </c>
      <c r="M41" s="718">
        <f t="shared" si="6"/>
        <v>0</v>
      </c>
      <c r="N41" s="718">
        <f t="shared" si="6"/>
        <v>0</v>
      </c>
      <c r="O41" s="718">
        <f t="shared" si="6"/>
        <v>0</v>
      </c>
      <c r="P41" s="1767">
        <f t="shared" si="0"/>
        <v>0</v>
      </c>
    </row>
    <row r="42" spans="1:17" ht="12" thickBot="1">
      <c r="A42" s="12"/>
      <c r="B42" s="1468" t="s">
        <v>654</v>
      </c>
      <c r="C42" s="710">
        <v>827</v>
      </c>
      <c r="D42" s="557"/>
      <c r="E42" s="557"/>
      <c r="F42" s="557"/>
      <c r="G42" s="557"/>
      <c r="H42" s="557"/>
      <c r="I42" s="558"/>
      <c r="J42" s="558"/>
      <c r="K42" s="557"/>
      <c r="L42" s="557"/>
      <c r="M42" s="557"/>
      <c r="N42" s="557"/>
      <c r="O42" s="557"/>
      <c r="P42" s="1766">
        <f t="shared" si="0"/>
        <v>0</v>
      </c>
    </row>
    <row r="43" spans="1:17" ht="23.25" thickBot="1">
      <c r="A43" s="12">
        <v>9050500</v>
      </c>
      <c r="B43" s="1472" t="s">
        <v>2223</v>
      </c>
      <c r="C43" s="576">
        <v>822</v>
      </c>
      <c r="D43" s="8"/>
      <c r="E43" s="8"/>
      <c r="F43" s="8"/>
      <c r="G43" s="8"/>
      <c r="H43" s="8"/>
      <c r="I43" s="8"/>
      <c r="J43" s="8"/>
      <c r="K43" s="8"/>
      <c r="L43" s="8"/>
      <c r="M43" s="8"/>
      <c r="N43" s="8"/>
      <c r="O43" s="8"/>
      <c r="P43" s="1766">
        <f t="shared" si="0"/>
        <v>0</v>
      </c>
    </row>
    <row r="44" spans="1:17" ht="12" thickBot="1">
      <c r="A44" s="12"/>
      <c r="B44" s="1473" t="s">
        <v>66</v>
      </c>
      <c r="C44" s="716">
        <v>822</v>
      </c>
      <c r="D44" s="717">
        <f>D43</f>
        <v>0</v>
      </c>
      <c r="E44" s="717">
        <f t="shared" ref="E44:O44" si="7">E43</f>
        <v>0</v>
      </c>
      <c r="F44" s="717">
        <f t="shared" si="7"/>
        <v>0</v>
      </c>
      <c r="G44" s="717">
        <f t="shared" si="7"/>
        <v>0</v>
      </c>
      <c r="H44" s="717">
        <f t="shared" si="7"/>
        <v>0</v>
      </c>
      <c r="I44" s="717">
        <f t="shared" si="7"/>
        <v>0</v>
      </c>
      <c r="J44" s="717">
        <f t="shared" si="7"/>
        <v>0</v>
      </c>
      <c r="K44" s="717">
        <f t="shared" si="7"/>
        <v>0</v>
      </c>
      <c r="L44" s="717">
        <f t="shared" si="7"/>
        <v>0</v>
      </c>
      <c r="M44" s="717">
        <f t="shared" si="7"/>
        <v>0</v>
      </c>
      <c r="N44" s="717">
        <f t="shared" si="7"/>
        <v>0</v>
      </c>
      <c r="O44" s="717">
        <f t="shared" si="7"/>
        <v>0</v>
      </c>
      <c r="P44" s="1766">
        <f t="shared" si="0"/>
        <v>0</v>
      </c>
    </row>
    <row r="45" spans="1:17" ht="12" thickBot="1">
      <c r="A45" s="12"/>
      <c r="B45" s="1468" t="s">
        <v>663</v>
      </c>
      <c r="C45" s="556"/>
      <c r="D45" s="557"/>
      <c r="E45" s="557"/>
      <c r="F45" s="557"/>
      <c r="G45" s="557"/>
      <c r="H45" s="557"/>
      <c r="I45" s="558"/>
      <c r="J45" s="558"/>
      <c r="K45" s="557"/>
      <c r="L45" s="557"/>
      <c r="M45" s="557"/>
      <c r="N45" s="557"/>
      <c r="O45" s="557"/>
      <c r="P45" s="1766">
        <f t="shared" si="0"/>
        <v>0</v>
      </c>
    </row>
    <row r="46" spans="1:17" ht="12" thickBot="1">
      <c r="A46" s="12"/>
      <c r="B46" s="1480" t="s">
        <v>2221</v>
      </c>
      <c r="C46" s="719">
        <v>824</v>
      </c>
      <c r="D46" s="720"/>
      <c r="E46" s="720"/>
      <c r="F46" s="720"/>
      <c r="G46" s="720"/>
      <c r="H46" s="720"/>
      <c r="I46" s="721"/>
      <c r="J46" s="721"/>
      <c r="K46" s="717"/>
      <c r="L46" s="717"/>
      <c r="M46" s="717"/>
      <c r="N46" s="717"/>
      <c r="O46" s="717"/>
      <c r="P46" s="1766">
        <f t="shared" si="0"/>
        <v>0</v>
      </c>
      <c r="Q46" s="10"/>
    </row>
    <row r="47" spans="1:17" ht="12" thickBot="1">
      <c r="A47" s="12">
        <v>7110102</v>
      </c>
      <c r="B47" s="1482" t="s">
        <v>327</v>
      </c>
      <c r="C47" s="712">
        <v>831</v>
      </c>
      <c r="D47" s="566"/>
      <c r="E47" s="566"/>
      <c r="F47" s="566"/>
      <c r="G47" s="566"/>
      <c r="H47" s="566"/>
      <c r="I47" s="567"/>
      <c r="J47" s="567"/>
      <c r="K47" s="557"/>
      <c r="L47" s="557"/>
      <c r="M47" s="557"/>
      <c r="N47" s="557"/>
      <c r="O47" s="557"/>
      <c r="P47" s="1766">
        <f t="shared" si="0"/>
        <v>0</v>
      </c>
      <c r="Q47" s="10"/>
    </row>
    <row r="48" spans="1:17" ht="23.25" thickBot="1">
      <c r="A48" s="12">
        <v>7110173130</v>
      </c>
      <c r="B48" s="1474" t="s">
        <v>1373</v>
      </c>
      <c r="C48" s="712">
        <v>831</v>
      </c>
      <c r="D48" s="566">
        <v>3053</v>
      </c>
      <c r="E48" s="566">
        <v>3053</v>
      </c>
      <c r="F48" s="566">
        <v>3054</v>
      </c>
      <c r="G48" s="566"/>
      <c r="H48" s="566"/>
      <c r="I48" s="567"/>
      <c r="J48" s="567"/>
      <c r="K48" s="557"/>
      <c r="L48" s="557"/>
      <c r="M48" s="557"/>
      <c r="N48" s="557"/>
      <c r="O48" s="557"/>
      <c r="P48" s="1766">
        <f t="shared" si="0"/>
        <v>9160</v>
      </c>
      <c r="Q48" s="10"/>
    </row>
    <row r="49" spans="1:17" ht="23.25" thickBot="1">
      <c r="A49" s="12"/>
      <c r="B49" s="1474" t="s">
        <v>2064</v>
      </c>
      <c r="C49" s="712">
        <v>831</v>
      </c>
      <c r="D49" s="566"/>
      <c r="E49" s="566"/>
      <c r="F49" s="566"/>
      <c r="G49" s="566"/>
      <c r="H49" s="566"/>
      <c r="I49" s="567"/>
      <c r="J49" s="567"/>
      <c r="K49" s="557"/>
      <c r="L49" s="557"/>
      <c r="M49" s="557"/>
      <c r="N49" s="557"/>
      <c r="O49" s="557"/>
      <c r="P49" s="1766">
        <f t="shared" si="0"/>
        <v>0</v>
      </c>
      <c r="Q49" s="10"/>
    </row>
    <row r="50" spans="1:17" ht="12" thickBot="1">
      <c r="A50" s="12">
        <v>7140200</v>
      </c>
      <c r="B50" s="1474" t="s">
        <v>1326</v>
      </c>
      <c r="C50" s="712">
        <v>831</v>
      </c>
      <c r="D50" s="566"/>
      <c r="E50" s="566"/>
      <c r="F50" s="566"/>
      <c r="G50" s="566"/>
      <c r="H50" s="566"/>
      <c r="I50" s="567"/>
      <c r="J50" s="567"/>
      <c r="K50" s="557"/>
      <c r="L50" s="557"/>
      <c r="M50" s="557"/>
      <c r="N50" s="557"/>
      <c r="O50" s="557"/>
      <c r="P50" s="575">
        <f t="shared" si="0"/>
        <v>0</v>
      </c>
      <c r="Q50" s="10"/>
    </row>
    <row r="51" spans="1:17" ht="12" thickBot="1">
      <c r="A51" s="12"/>
      <c r="B51" s="1474" t="s">
        <v>1020</v>
      </c>
      <c r="C51" s="712">
        <v>831</v>
      </c>
      <c r="D51" s="566"/>
      <c r="E51" s="566"/>
      <c r="F51" s="566"/>
      <c r="G51" s="566"/>
      <c r="H51" s="566"/>
      <c r="I51" s="567"/>
      <c r="J51" s="567"/>
      <c r="K51" s="557"/>
      <c r="L51" s="557"/>
      <c r="M51" s="557"/>
      <c r="N51" s="557"/>
      <c r="O51" s="557"/>
      <c r="P51" s="575">
        <f t="shared" si="0"/>
        <v>0</v>
      </c>
      <c r="Q51" s="10"/>
    </row>
    <row r="52" spans="1:17" ht="23.25" thickBot="1">
      <c r="A52" s="12" t="s">
        <v>2760</v>
      </c>
      <c r="B52" s="1472" t="s">
        <v>2223</v>
      </c>
      <c r="C52" s="712">
        <v>831</v>
      </c>
      <c r="D52" s="566"/>
      <c r="E52" s="566"/>
      <c r="F52" s="566"/>
      <c r="G52" s="566"/>
      <c r="H52" s="566"/>
      <c r="I52" s="567"/>
      <c r="J52" s="567"/>
      <c r="K52" s="557"/>
      <c r="L52" s="557"/>
      <c r="M52" s="557"/>
      <c r="N52" s="557"/>
      <c r="O52" s="557"/>
      <c r="P52" s="575">
        <f t="shared" si="0"/>
        <v>0</v>
      </c>
      <c r="Q52" s="10"/>
    </row>
    <row r="53" spans="1:17" ht="23.25" thickBot="1">
      <c r="A53" s="12" t="s">
        <v>3295</v>
      </c>
      <c r="B53" s="1472" t="s">
        <v>2223</v>
      </c>
      <c r="C53" s="712">
        <v>831</v>
      </c>
      <c r="D53" s="566">
        <v>60823.21</v>
      </c>
      <c r="E53" s="566">
        <v>79097.5</v>
      </c>
      <c r="F53" s="566">
        <v>28067.29</v>
      </c>
      <c r="G53" s="566"/>
      <c r="H53" s="566"/>
      <c r="I53" s="567"/>
      <c r="J53" s="567"/>
      <c r="K53" s="557"/>
      <c r="L53" s="557"/>
      <c r="M53" s="557"/>
      <c r="N53" s="557"/>
      <c r="O53" s="557"/>
      <c r="P53" s="575">
        <f t="shared" si="0"/>
        <v>167988</v>
      </c>
      <c r="Q53" s="10"/>
    </row>
    <row r="54" spans="1:17" ht="23.25" thickBot="1">
      <c r="A54" s="12" t="s">
        <v>2760</v>
      </c>
      <c r="B54" s="1472" t="s">
        <v>2223</v>
      </c>
      <c r="C54" s="712">
        <v>837</v>
      </c>
      <c r="D54" s="566"/>
      <c r="E54" s="566"/>
      <c r="F54" s="566"/>
      <c r="G54" s="566"/>
      <c r="H54" s="566"/>
      <c r="I54" s="567"/>
      <c r="J54" s="567"/>
      <c r="K54" s="557"/>
      <c r="L54" s="557"/>
      <c r="M54" s="557"/>
      <c r="N54" s="557"/>
      <c r="O54" s="557"/>
      <c r="P54" s="575">
        <f t="shared" si="0"/>
        <v>0</v>
      </c>
      <c r="Q54" s="10"/>
    </row>
    <row r="55" spans="1:17" ht="12" thickBot="1">
      <c r="A55" s="12">
        <v>5710373090</v>
      </c>
      <c r="B55" s="1474" t="s">
        <v>2220</v>
      </c>
      <c r="C55" s="710">
        <v>805</v>
      </c>
      <c r="D55" s="557">
        <v>69342</v>
      </c>
      <c r="E55" s="557">
        <v>69342</v>
      </c>
      <c r="F55" s="557">
        <v>69341</v>
      </c>
      <c r="G55" s="557"/>
      <c r="H55" s="557"/>
      <c r="I55" s="557"/>
      <c r="J55" s="558"/>
      <c r="K55" s="557"/>
      <c r="L55" s="557"/>
      <c r="M55" s="557"/>
      <c r="N55" s="557"/>
      <c r="O55" s="557"/>
      <c r="P55" s="575">
        <f t="shared" si="0"/>
        <v>208025</v>
      </c>
      <c r="Q55" s="10"/>
    </row>
    <row r="56" spans="1:17" ht="12" thickBot="1">
      <c r="A56" s="12"/>
      <c r="B56" s="1473" t="s">
        <v>66</v>
      </c>
      <c r="C56" s="716">
        <v>831</v>
      </c>
      <c r="D56" s="717">
        <f>D55+D53+D48</f>
        <v>133218.21</v>
      </c>
      <c r="E56" s="717">
        <f>SUM(E48:E55)</f>
        <v>151492.5</v>
      </c>
      <c r="F56" s="717">
        <f>SUM(F48:F55)</f>
        <v>100462.29000000001</v>
      </c>
      <c r="G56" s="717">
        <f>SUM(G48:G55)</f>
        <v>0</v>
      </c>
      <c r="H56" s="717">
        <f>SUM(H47:H55)</f>
        <v>0</v>
      </c>
      <c r="I56" s="717">
        <f>SUM(I48:I55)</f>
        <v>0</v>
      </c>
      <c r="J56" s="718">
        <f t="shared" ref="J56:O56" si="8">SUM(J47:J55)</f>
        <v>0</v>
      </c>
      <c r="K56" s="718">
        <f t="shared" si="8"/>
        <v>0</v>
      </c>
      <c r="L56" s="718">
        <f t="shared" si="8"/>
        <v>0</v>
      </c>
      <c r="M56" s="718">
        <f t="shared" si="8"/>
        <v>0</v>
      </c>
      <c r="N56" s="718">
        <f t="shared" si="8"/>
        <v>0</v>
      </c>
      <c r="O56" s="718">
        <f t="shared" si="8"/>
        <v>0</v>
      </c>
      <c r="P56" s="715">
        <f t="shared" si="0"/>
        <v>385173</v>
      </c>
      <c r="Q56" s="10"/>
    </row>
    <row r="57" spans="1:17" ht="12" thickBot="1">
      <c r="A57" s="12"/>
      <c r="B57" s="1481"/>
      <c r="C57" s="559"/>
      <c r="D57" s="560">
        <f>D6+D13+D18+D32+D36+D44+D46+D56</f>
        <v>22726876.960000001</v>
      </c>
      <c r="E57" s="560">
        <f t="shared" ref="E57:N57" si="9">E6+E13+E18+E32+E36+E44+E46+E56</f>
        <v>22165531.969999999</v>
      </c>
      <c r="F57" s="560">
        <f t="shared" si="9"/>
        <v>29089992.019999996</v>
      </c>
      <c r="G57" s="560">
        <f t="shared" si="9"/>
        <v>0</v>
      </c>
      <c r="H57" s="560">
        <f t="shared" si="9"/>
        <v>0</v>
      </c>
      <c r="I57" s="560">
        <f t="shared" si="9"/>
        <v>0</v>
      </c>
      <c r="J57" s="560">
        <f t="shared" si="9"/>
        <v>0</v>
      </c>
      <c r="K57" s="560">
        <f t="shared" si="9"/>
        <v>0</v>
      </c>
      <c r="L57" s="560">
        <f>L6+L13+L18+L32+L36+L44+L46+L56+L41</f>
        <v>0</v>
      </c>
      <c r="M57" s="560">
        <f t="shared" si="9"/>
        <v>0</v>
      </c>
      <c r="N57" s="560">
        <f t="shared" si="9"/>
        <v>0</v>
      </c>
      <c r="O57" s="560">
        <f>O6+O13+O18+O32+O36+O44+O46+O56</f>
        <v>0</v>
      </c>
      <c r="P57" s="575">
        <f>SUM(D57:O57)</f>
        <v>73982400.949999988</v>
      </c>
      <c r="Q57" s="10"/>
    </row>
    <row r="59" spans="1:17">
      <c r="H59" s="392"/>
      <c r="I59" s="392" t="s">
        <v>685</v>
      </c>
      <c r="J59" s="10"/>
      <c r="K59" s="10"/>
      <c r="L59" s="10"/>
      <c r="M59" s="10"/>
      <c r="N59" s="10"/>
      <c r="O59" s="10"/>
    </row>
  </sheetData>
  <phoneticPr fontId="0" type="noConversion"/>
  <pageMargins left="0.15748031496062992" right="0.15748031496062992" top="0" bottom="0" header="0.51181102362204722" footer="0.51181102362204722"/>
  <pageSetup paperSize="9" scale="73" fitToHeight="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Лист6" enableFormatConditionsCalculation="0">
    <tabColor indexed="11"/>
    <pageSetUpPr fitToPage="1"/>
  </sheetPr>
  <dimension ref="A1:M240"/>
  <sheetViews>
    <sheetView zoomScale="90" zoomScaleNormal="90" workbookViewId="0">
      <pane xSplit="4" ySplit="20" topLeftCell="G149" activePane="bottomRight" state="frozen"/>
      <selection pane="topRight" activeCell="E1" sqref="E1"/>
      <selection pane="bottomLeft" activeCell="A17" sqref="A17"/>
      <selection pane="bottomRight" activeCell="C152" sqref="C152"/>
    </sheetView>
  </sheetViews>
  <sheetFormatPr defaultRowHeight="11.25"/>
  <cols>
    <col min="1" max="1" width="35.5" bestFit="1" customWidth="1"/>
    <col min="2" max="3" width="19.83203125" bestFit="1" customWidth="1"/>
    <col min="4" max="5" width="19.6640625" bestFit="1" customWidth="1"/>
    <col min="6" max="7" width="18.33203125" bestFit="1" customWidth="1"/>
    <col min="8" max="9" width="19.83203125" bestFit="1" customWidth="1"/>
    <col min="10" max="11" width="19.6640625" bestFit="1" customWidth="1"/>
    <col min="12" max="12" width="20.33203125" bestFit="1" customWidth="1"/>
    <col min="13" max="13" width="19.83203125" bestFit="1" customWidth="1"/>
    <col min="14" max="14" width="19.6640625" customWidth="1"/>
    <col min="16" max="16" width="35" customWidth="1"/>
    <col min="17" max="17" width="18.1640625" customWidth="1"/>
    <col min="18" max="18" width="19.83203125" customWidth="1"/>
    <col min="19" max="19" width="15" bestFit="1" customWidth="1"/>
    <col min="20" max="20" width="19.1640625" customWidth="1"/>
    <col min="21" max="21" width="13.5" bestFit="1" customWidth="1"/>
    <col min="22" max="22" width="23.33203125" customWidth="1"/>
    <col min="23" max="23" width="13.5" bestFit="1" customWidth="1"/>
    <col min="24" max="24" width="18.83203125" customWidth="1"/>
    <col min="25" max="26" width="18.1640625" bestFit="1" customWidth="1"/>
  </cols>
  <sheetData>
    <row r="1" spans="1:13" ht="15.75">
      <c r="A1" s="824" t="s">
        <v>565</v>
      </c>
      <c r="B1" s="2653"/>
      <c r="C1" s="2654"/>
      <c r="D1" s="2653"/>
      <c r="E1" s="2654"/>
      <c r="F1" s="2653"/>
      <c r="G1" s="2654"/>
      <c r="H1" s="2653"/>
      <c r="I1" s="2654"/>
      <c r="J1" s="2653"/>
      <c r="K1" s="2652"/>
      <c r="L1" s="2651" t="s">
        <v>66</v>
      </c>
      <c r="M1" s="2652"/>
    </row>
    <row r="2" spans="1:13" ht="15">
      <c r="A2" s="352"/>
      <c r="B2" s="2645" t="s">
        <v>1280</v>
      </c>
      <c r="C2" s="2650"/>
      <c r="D2" s="2645" t="s">
        <v>1281</v>
      </c>
      <c r="E2" s="2650"/>
      <c r="F2" s="2645" t="s">
        <v>1282</v>
      </c>
      <c r="G2" s="2650"/>
      <c r="H2" s="2645" t="s">
        <v>1283</v>
      </c>
      <c r="I2" s="2650"/>
      <c r="J2" s="2645" t="s">
        <v>1284</v>
      </c>
      <c r="K2" s="2646"/>
      <c r="L2" s="822" t="s">
        <v>36</v>
      </c>
      <c r="M2" s="785" t="s">
        <v>844</v>
      </c>
    </row>
    <row r="3" spans="1:13" ht="15">
      <c r="A3" s="352" t="s">
        <v>37</v>
      </c>
      <c r="B3" s="787" t="s">
        <v>1450</v>
      </c>
      <c r="C3" s="877" t="s">
        <v>1451</v>
      </c>
      <c r="D3" s="787" t="s">
        <v>1450</v>
      </c>
      <c r="E3" s="877" t="s">
        <v>1451</v>
      </c>
      <c r="F3" s="787" t="s">
        <v>1450</v>
      </c>
      <c r="G3" s="877" t="s">
        <v>1451</v>
      </c>
      <c r="H3" s="787" t="s">
        <v>1450</v>
      </c>
      <c r="I3" s="877" t="s">
        <v>1451</v>
      </c>
      <c r="J3" s="787" t="s">
        <v>1450</v>
      </c>
      <c r="K3" s="786" t="s">
        <v>1451</v>
      </c>
      <c r="L3" s="837" t="s">
        <v>1450</v>
      </c>
      <c r="M3" s="786" t="s">
        <v>1451</v>
      </c>
    </row>
    <row r="4" spans="1:13" ht="15.75">
      <c r="A4" s="825" t="s">
        <v>38</v>
      </c>
      <c r="B4" s="788">
        <f t="shared" ref="B4:K4" si="0">SUM(B5:B25)</f>
        <v>8715265.3699999992</v>
      </c>
      <c r="C4" s="902">
        <f t="shared" si="0"/>
        <v>8113182.1799999978</v>
      </c>
      <c r="D4" s="788">
        <f t="shared" si="0"/>
        <v>1071400</v>
      </c>
      <c r="E4" s="902">
        <f t="shared" si="0"/>
        <v>987342.99999999988</v>
      </c>
      <c r="F4" s="788">
        <f t="shared" si="0"/>
        <v>726500</v>
      </c>
      <c r="G4" s="902">
        <f t="shared" si="0"/>
        <v>704978.92999999993</v>
      </c>
      <c r="H4" s="788">
        <f t="shared" si="0"/>
        <v>876500</v>
      </c>
      <c r="I4" s="902">
        <f t="shared" si="0"/>
        <v>868865.28</v>
      </c>
      <c r="J4" s="788">
        <f t="shared" si="0"/>
        <v>316605</v>
      </c>
      <c r="K4" s="789">
        <f t="shared" si="0"/>
        <v>292916.65999999997</v>
      </c>
      <c r="L4" s="883">
        <f t="shared" ref="L4:M25" si="1">B4+D4+F4+H4+J4</f>
        <v>11706270.369999999</v>
      </c>
      <c r="M4" s="789">
        <f t="shared" si="1"/>
        <v>10967286.049999997</v>
      </c>
    </row>
    <row r="5" spans="1:13" ht="15">
      <c r="A5" s="533" t="s">
        <v>2184</v>
      </c>
      <c r="B5" s="834">
        <v>6500000</v>
      </c>
      <c r="C5" s="903">
        <v>6278635.79</v>
      </c>
      <c r="D5" s="803">
        <v>511000</v>
      </c>
      <c r="E5" s="903">
        <v>534928.69999999995</v>
      </c>
      <c r="F5" s="803">
        <v>315000</v>
      </c>
      <c r="G5" s="903">
        <v>303586.33</v>
      </c>
      <c r="H5" s="803">
        <v>640500</v>
      </c>
      <c r="I5" s="903">
        <v>640789.91</v>
      </c>
      <c r="J5" s="803">
        <v>197200</v>
      </c>
      <c r="K5" s="793">
        <v>192144.87</v>
      </c>
      <c r="L5" s="884">
        <f t="shared" si="1"/>
        <v>8163700</v>
      </c>
      <c r="M5" s="793">
        <f t="shared" si="1"/>
        <v>7950085.6000000006</v>
      </c>
    </row>
    <row r="6" spans="1:13" ht="15">
      <c r="A6" s="352" t="s">
        <v>1672</v>
      </c>
      <c r="B6" s="792">
        <v>1341.8</v>
      </c>
      <c r="C6" s="904">
        <v>1231.8</v>
      </c>
      <c r="D6" s="792"/>
      <c r="E6" s="904"/>
      <c r="F6" s="834"/>
      <c r="G6" s="904"/>
      <c r="H6" s="792"/>
      <c r="I6" s="904"/>
      <c r="J6" s="792"/>
      <c r="K6" s="796"/>
      <c r="L6" s="884">
        <f t="shared" si="1"/>
        <v>1341.8</v>
      </c>
      <c r="M6" s="793">
        <f t="shared" si="1"/>
        <v>1231.8</v>
      </c>
    </row>
    <row r="7" spans="1:13" ht="15">
      <c r="A7" s="352" t="s">
        <v>2186</v>
      </c>
      <c r="B7" s="792"/>
      <c r="C7" s="904"/>
      <c r="D7" s="792"/>
      <c r="E7" s="904"/>
      <c r="F7" s="834"/>
      <c r="G7" s="904"/>
      <c r="H7" s="792"/>
      <c r="I7" s="904"/>
      <c r="J7" s="792"/>
      <c r="K7" s="796"/>
      <c r="L7" s="884">
        <f t="shared" si="1"/>
        <v>0</v>
      </c>
      <c r="M7" s="793">
        <f t="shared" si="1"/>
        <v>0</v>
      </c>
    </row>
    <row r="8" spans="1:13" ht="15">
      <c r="A8" s="352" t="s">
        <v>2187</v>
      </c>
      <c r="B8" s="792">
        <v>1340.72</v>
      </c>
      <c r="C8" s="904">
        <v>1340.72</v>
      </c>
      <c r="D8" s="792"/>
      <c r="E8" s="904"/>
      <c r="F8" s="834"/>
      <c r="G8" s="904">
        <v>108.17</v>
      </c>
      <c r="H8" s="792"/>
      <c r="I8" s="904">
        <v>640.70000000000005</v>
      </c>
      <c r="J8" s="792">
        <v>1105</v>
      </c>
      <c r="K8" s="796">
        <v>1105</v>
      </c>
      <c r="L8" s="884">
        <f t="shared" si="1"/>
        <v>2445.7200000000003</v>
      </c>
      <c r="M8" s="793">
        <f t="shared" si="1"/>
        <v>3194.59</v>
      </c>
    </row>
    <row r="9" spans="1:13" ht="15">
      <c r="A9" s="352" t="s">
        <v>2188</v>
      </c>
      <c r="B9" s="1700"/>
      <c r="C9" s="904"/>
      <c r="D9" s="792"/>
      <c r="E9" s="904"/>
      <c r="F9" s="834"/>
      <c r="G9" s="904"/>
      <c r="H9" s="792"/>
      <c r="I9" s="904"/>
      <c r="J9" s="792"/>
      <c r="K9" s="796"/>
      <c r="L9" s="884">
        <f t="shared" si="1"/>
        <v>0</v>
      </c>
      <c r="M9" s="793">
        <f t="shared" si="1"/>
        <v>0</v>
      </c>
    </row>
    <row r="10" spans="1:13" ht="15">
      <c r="A10" s="352" t="s">
        <v>1159</v>
      </c>
      <c r="B10" s="792">
        <v>200000</v>
      </c>
      <c r="C10" s="904">
        <v>204968.75</v>
      </c>
      <c r="D10" s="792">
        <v>150200</v>
      </c>
      <c r="E10" s="904">
        <v>110367.78</v>
      </c>
      <c r="F10" s="834">
        <v>33370</v>
      </c>
      <c r="G10" s="904">
        <v>31533.599999999999</v>
      </c>
      <c r="H10" s="792">
        <v>33370</v>
      </c>
      <c r="I10" s="904">
        <v>31533.599999999999</v>
      </c>
      <c r="J10" s="792">
        <v>33370</v>
      </c>
      <c r="K10" s="796">
        <v>31533.599999999999</v>
      </c>
      <c r="L10" s="884">
        <f t="shared" si="1"/>
        <v>450310</v>
      </c>
      <c r="M10" s="793">
        <f t="shared" si="1"/>
        <v>409937.32999999996</v>
      </c>
    </row>
    <row r="11" spans="1:13" ht="15">
      <c r="A11" s="352" t="s">
        <v>1160</v>
      </c>
      <c r="B11" s="792"/>
      <c r="C11" s="904">
        <v>4726.5200000000004</v>
      </c>
      <c r="D11" s="792">
        <v>3100</v>
      </c>
      <c r="E11" s="904">
        <v>2545.1</v>
      </c>
      <c r="F11" s="834">
        <v>730</v>
      </c>
      <c r="G11" s="904">
        <v>727.21</v>
      </c>
      <c r="H11" s="792">
        <v>730</v>
      </c>
      <c r="I11" s="904">
        <v>727.21</v>
      </c>
      <c r="J11" s="792">
        <v>730</v>
      </c>
      <c r="K11" s="796">
        <v>727.21</v>
      </c>
      <c r="L11" s="884">
        <f t="shared" si="1"/>
        <v>5290</v>
      </c>
      <c r="M11" s="793">
        <f t="shared" si="1"/>
        <v>9453.25</v>
      </c>
    </row>
    <row r="12" spans="1:13" ht="15">
      <c r="A12" s="352" t="s">
        <v>1161</v>
      </c>
      <c r="B12" s="792">
        <v>350000</v>
      </c>
      <c r="C12" s="904">
        <v>355671.55</v>
      </c>
      <c r="D12" s="792">
        <v>243200</v>
      </c>
      <c r="E12" s="904">
        <v>191515.51999999999</v>
      </c>
      <c r="F12" s="834">
        <v>54800</v>
      </c>
      <c r="G12" s="904">
        <v>54718.67</v>
      </c>
      <c r="H12" s="792">
        <v>54800</v>
      </c>
      <c r="I12" s="904">
        <v>54718.67</v>
      </c>
      <c r="J12" s="792">
        <v>54800</v>
      </c>
      <c r="K12" s="796">
        <v>54718.66</v>
      </c>
      <c r="L12" s="884">
        <f t="shared" si="1"/>
        <v>757600</v>
      </c>
      <c r="M12" s="793">
        <f t="shared" si="1"/>
        <v>711343.07000000007</v>
      </c>
    </row>
    <row r="13" spans="1:13" ht="15">
      <c r="A13" s="352" t="s">
        <v>1162</v>
      </c>
      <c r="B13" s="792"/>
      <c r="C13" s="904">
        <v>-22036.6</v>
      </c>
      <c r="D13" s="792">
        <v>13900</v>
      </c>
      <c r="E13" s="904">
        <v>-11865.78</v>
      </c>
      <c r="F13" s="834"/>
      <c r="G13" s="904">
        <v>-3390.26</v>
      </c>
      <c r="H13" s="792"/>
      <c r="I13" s="904">
        <v>-3390.26</v>
      </c>
      <c r="J13" s="792"/>
      <c r="K13" s="796">
        <v>-3390.26</v>
      </c>
      <c r="L13" s="884">
        <f t="shared" si="1"/>
        <v>13900</v>
      </c>
      <c r="M13" s="793">
        <f t="shared" si="1"/>
        <v>-44073.16</v>
      </c>
    </row>
    <row r="14" spans="1:13" ht="15">
      <c r="A14" s="352" t="s">
        <v>2195</v>
      </c>
      <c r="B14" s="792">
        <v>250000</v>
      </c>
      <c r="C14" s="904">
        <v>251768.38</v>
      </c>
      <c r="D14" s="792"/>
      <c r="E14" s="904">
        <v>122.1</v>
      </c>
      <c r="F14" s="834"/>
      <c r="G14" s="904"/>
      <c r="H14" s="792"/>
      <c r="I14" s="904"/>
      <c r="J14" s="792"/>
      <c r="K14" s="796">
        <v>6.19</v>
      </c>
      <c r="L14" s="884">
        <f t="shared" si="1"/>
        <v>250000</v>
      </c>
      <c r="M14" s="793">
        <f t="shared" si="1"/>
        <v>251896.67</v>
      </c>
    </row>
    <row r="15" spans="1:13" ht="15">
      <c r="A15" s="352" t="s">
        <v>1359</v>
      </c>
      <c r="B15" s="792">
        <v>120000</v>
      </c>
      <c r="C15" s="904">
        <v>104823.46</v>
      </c>
      <c r="D15" s="792"/>
      <c r="E15" s="904">
        <v>30.12</v>
      </c>
      <c r="F15" s="834">
        <v>2200</v>
      </c>
      <c r="G15" s="904">
        <v>2324.65</v>
      </c>
      <c r="H15" s="792"/>
      <c r="I15" s="904">
        <v>6.14</v>
      </c>
      <c r="J15" s="792"/>
      <c r="K15" s="796">
        <v>69.75</v>
      </c>
      <c r="L15" s="884">
        <f t="shared" si="1"/>
        <v>122200</v>
      </c>
      <c r="M15" s="793">
        <f t="shared" si="1"/>
        <v>107254.12</v>
      </c>
    </row>
    <row r="16" spans="1:13" ht="15">
      <c r="A16" s="352" t="s">
        <v>2196</v>
      </c>
      <c r="B16" s="792">
        <v>540000</v>
      </c>
      <c r="C16" s="904">
        <v>534869.93999999994</v>
      </c>
      <c r="D16" s="792">
        <v>23500</v>
      </c>
      <c r="E16" s="904">
        <v>23491.8</v>
      </c>
      <c r="F16" s="834">
        <v>6500</v>
      </c>
      <c r="G16" s="904">
        <v>6565.01</v>
      </c>
      <c r="H16" s="792">
        <v>38100</v>
      </c>
      <c r="I16" s="904">
        <v>38128</v>
      </c>
      <c r="J16" s="792">
        <v>5800</v>
      </c>
      <c r="K16" s="796">
        <v>5761.76</v>
      </c>
      <c r="L16" s="884">
        <f t="shared" si="1"/>
        <v>613900</v>
      </c>
      <c r="M16" s="793">
        <f t="shared" si="1"/>
        <v>608816.51</v>
      </c>
    </row>
    <row r="17" spans="1:13" ht="15">
      <c r="A17" s="352" t="s">
        <v>2207</v>
      </c>
      <c r="B17" s="792"/>
      <c r="C17" s="904">
        <v>284.37</v>
      </c>
      <c r="D17" s="792"/>
      <c r="E17" s="904"/>
      <c r="F17" s="834"/>
      <c r="G17" s="904"/>
      <c r="H17" s="792"/>
      <c r="I17" s="904"/>
      <c r="J17" s="792"/>
      <c r="K17" s="796"/>
      <c r="L17" s="884">
        <f t="shared" si="1"/>
        <v>0</v>
      </c>
      <c r="M17" s="793">
        <f t="shared" si="1"/>
        <v>284.37</v>
      </c>
    </row>
    <row r="18" spans="1:13" ht="15">
      <c r="A18" s="352" t="s">
        <v>2045</v>
      </c>
      <c r="B18" s="792"/>
      <c r="C18" s="904"/>
      <c r="D18" s="792"/>
      <c r="E18" s="904"/>
      <c r="F18" s="834"/>
      <c r="G18" s="904"/>
      <c r="H18" s="792"/>
      <c r="I18" s="904"/>
      <c r="J18" s="792"/>
      <c r="K18" s="796"/>
      <c r="L18" s="884">
        <f t="shared" si="1"/>
        <v>0</v>
      </c>
      <c r="M18" s="793">
        <f t="shared" si="1"/>
        <v>0</v>
      </c>
    </row>
    <row r="19" spans="1:13" ht="15">
      <c r="A19" s="352" t="s">
        <v>873</v>
      </c>
      <c r="B19" s="792">
        <v>257500</v>
      </c>
      <c r="C19" s="904">
        <v>218207.84</v>
      </c>
      <c r="D19" s="792">
        <v>1500</v>
      </c>
      <c r="E19" s="904">
        <v>1497.61</v>
      </c>
      <c r="F19" s="834">
        <v>3600</v>
      </c>
      <c r="G19" s="904">
        <v>3584.61</v>
      </c>
      <c r="H19" s="792">
        <v>24000</v>
      </c>
      <c r="I19" s="904">
        <v>20706.3</v>
      </c>
      <c r="J19" s="792">
        <v>2600</v>
      </c>
      <c r="K19" s="796">
        <v>2509.88</v>
      </c>
      <c r="L19" s="884">
        <f t="shared" si="1"/>
        <v>289200</v>
      </c>
      <c r="M19" s="793">
        <f t="shared" si="1"/>
        <v>246506.23999999996</v>
      </c>
    </row>
    <row r="20" spans="1:13" ht="15">
      <c r="A20" s="352" t="s">
        <v>2270</v>
      </c>
      <c r="B20" s="792">
        <v>381082.85</v>
      </c>
      <c r="C20" s="904">
        <v>69618.02</v>
      </c>
      <c r="D20" s="792">
        <v>80000</v>
      </c>
      <c r="E20" s="904">
        <v>87918.35</v>
      </c>
      <c r="F20" s="834">
        <v>290000</v>
      </c>
      <c r="G20" s="904">
        <v>281340.94</v>
      </c>
      <c r="H20" s="792">
        <v>82000</v>
      </c>
      <c r="I20" s="904">
        <v>82015.009999999995</v>
      </c>
      <c r="J20" s="792">
        <v>11000</v>
      </c>
      <c r="K20" s="796"/>
      <c r="L20" s="884">
        <f t="shared" si="1"/>
        <v>844082.85</v>
      </c>
      <c r="M20" s="793">
        <f t="shared" si="1"/>
        <v>520892.32</v>
      </c>
    </row>
    <row r="21" spans="1:13" ht="15">
      <c r="A21" s="773" t="s">
        <v>2016</v>
      </c>
      <c r="B21" s="792"/>
      <c r="C21" s="904"/>
      <c r="D21" s="792"/>
      <c r="E21" s="904"/>
      <c r="F21" s="834"/>
      <c r="G21" s="904"/>
      <c r="H21" s="792"/>
      <c r="I21" s="904"/>
      <c r="J21" s="792"/>
      <c r="K21" s="796"/>
      <c r="L21" s="884">
        <f t="shared" si="1"/>
        <v>0</v>
      </c>
      <c r="M21" s="793">
        <f t="shared" si="1"/>
        <v>0</v>
      </c>
    </row>
    <row r="22" spans="1:13" ht="15">
      <c r="A22" s="605" t="s">
        <v>1945</v>
      </c>
      <c r="B22" s="792"/>
      <c r="C22" s="904"/>
      <c r="D22" s="792"/>
      <c r="E22" s="904"/>
      <c r="F22" s="834"/>
      <c r="G22" s="904"/>
      <c r="H22" s="792"/>
      <c r="I22" s="904"/>
      <c r="J22" s="792"/>
      <c r="K22" s="796"/>
      <c r="L22" s="884">
        <f t="shared" si="1"/>
        <v>0</v>
      </c>
      <c r="M22" s="793">
        <f t="shared" si="1"/>
        <v>0</v>
      </c>
    </row>
    <row r="23" spans="1:13" ht="15">
      <c r="A23" s="352" t="s">
        <v>1947</v>
      </c>
      <c r="B23" s="792"/>
      <c r="C23" s="904"/>
      <c r="D23" s="792"/>
      <c r="E23" s="904"/>
      <c r="F23" s="834"/>
      <c r="G23" s="904"/>
      <c r="H23" s="792"/>
      <c r="I23" s="904"/>
      <c r="J23" s="792"/>
      <c r="K23" s="796">
        <v>0</v>
      </c>
      <c r="L23" s="884">
        <f t="shared" si="1"/>
        <v>0</v>
      </c>
      <c r="M23" s="793">
        <f t="shared" si="1"/>
        <v>0</v>
      </c>
    </row>
    <row r="24" spans="1:13" ht="15">
      <c r="A24" s="352" t="s">
        <v>29</v>
      </c>
      <c r="B24" s="792">
        <v>114000</v>
      </c>
      <c r="C24" s="904">
        <v>109071.64</v>
      </c>
      <c r="D24" s="792">
        <v>45000</v>
      </c>
      <c r="E24" s="904">
        <v>46791.7</v>
      </c>
      <c r="F24" s="834">
        <v>20300</v>
      </c>
      <c r="G24" s="904">
        <v>23880</v>
      </c>
      <c r="H24" s="792">
        <v>3000</v>
      </c>
      <c r="I24" s="904">
        <v>2990</v>
      </c>
      <c r="J24" s="792">
        <v>10000</v>
      </c>
      <c r="K24" s="796">
        <v>7730</v>
      </c>
      <c r="L24" s="884">
        <f t="shared" si="1"/>
        <v>192300</v>
      </c>
      <c r="M24" s="793">
        <f t="shared" si="1"/>
        <v>190463.34</v>
      </c>
    </row>
    <row r="25" spans="1:13" ht="15">
      <c r="A25" s="352" t="s">
        <v>1354</v>
      </c>
      <c r="B25" s="792"/>
      <c r="C25" s="904"/>
      <c r="D25" s="792"/>
      <c r="E25" s="904"/>
      <c r="F25" s="834"/>
      <c r="G25" s="904"/>
      <c r="H25" s="792"/>
      <c r="I25" s="904"/>
      <c r="J25" s="792"/>
      <c r="K25" s="796"/>
      <c r="L25" s="884">
        <f t="shared" si="1"/>
        <v>0</v>
      </c>
      <c r="M25" s="793">
        <f t="shared" si="1"/>
        <v>0</v>
      </c>
    </row>
    <row r="26" spans="1:13" ht="15.75">
      <c r="A26" s="825" t="s">
        <v>1022</v>
      </c>
      <c r="B26" s="788">
        <f>B27+B30+B36+B37+B39+B28+B38+B29</f>
        <v>14567300</v>
      </c>
      <c r="C26" s="788">
        <f t="shared" ref="C26:K26" si="2">C27+C30+C36+C37+C39+C28+C38</f>
        <v>14567300</v>
      </c>
      <c r="D26" s="788">
        <f>D27+D30+D36+D37+D39+D28+D38+D29</f>
        <v>6715700</v>
      </c>
      <c r="E26" s="788">
        <f t="shared" si="2"/>
        <v>6515700</v>
      </c>
      <c r="F26" s="788">
        <f t="shared" si="2"/>
        <v>5009000</v>
      </c>
      <c r="G26" s="788">
        <f t="shared" si="2"/>
        <v>5009000</v>
      </c>
      <c r="H26" s="788">
        <f>H27+H30+H36+H37+H39+H28+H38+H29</f>
        <v>4017400</v>
      </c>
      <c r="I26" s="788">
        <f>I27+I30+I36+I37+I39+I28+I38+I29</f>
        <v>3987400</v>
      </c>
      <c r="J26" s="788">
        <f t="shared" si="2"/>
        <v>4052000</v>
      </c>
      <c r="K26" s="788">
        <f t="shared" si="2"/>
        <v>4052000</v>
      </c>
      <c r="L26" s="883">
        <f>L27+L30+L36+L37+L39+L28+L29</f>
        <v>34361400</v>
      </c>
      <c r="M26" s="788">
        <f>M27+M30+M36+M37+M39+M28</f>
        <v>34086400</v>
      </c>
    </row>
    <row r="27" spans="1:13" ht="15.75">
      <c r="A27" s="59" t="s">
        <v>1356</v>
      </c>
      <c r="B27" s="797">
        <v>10454300</v>
      </c>
      <c r="C27" s="905">
        <v>10454300</v>
      </c>
      <c r="D27" s="797">
        <v>3613700</v>
      </c>
      <c r="E27" s="905">
        <v>3613700</v>
      </c>
      <c r="F27" s="797">
        <v>2819700</v>
      </c>
      <c r="G27" s="905">
        <v>2819700</v>
      </c>
      <c r="H27" s="797">
        <v>1339100</v>
      </c>
      <c r="I27" s="905">
        <v>1339100</v>
      </c>
      <c r="J27" s="797">
        <v>1689600</v>
      </c>
      <c r="K27" s="801">
        <v>1689600</v>
      </c>
      <c r="L27" s="885">
        <f t="shared" ref="L27:M41" si="3">B27+D27+F27+H27+J27</f>
        <v>19916400</v>
      </c>
      <c r="M27" s="798">
        <f t="shared" si="3"/>
        <v>19916400</v>
      </c>
    </row>
    <row r="28" spans="1:13" ht="15">
      <c r="A28" s="59" t="s">
        <v>1356</v>
      </c>
      <c r="B28" s="797">
        <v>2487000</v>
      </c>
      <c r="C28" s="905">
        <v>2487000</v>
      </c>
      <c r="D28" s="797">
        <v>854000</v>
      </c>
      <c r="E28" s="905">
        <v>854000</v>
      </c>
      <c r="F28" s="797">
        <v>673000</v>
      </c>
      <c r="G28" s="905">
        <v>673000</v>
      </c>
      <c r="H28" s="797">
        <v>317000</v>
      </c>
      <c r="I28" s="905">
        <v>317000</v>
      </c>
      <c r="J28" s="797">
        <v>407400</v>
      </c>
      <c r="K28" s="801">
        <v>407400</v>
      </c>
      <c r="L28" s="886">
        <f t="shared" si="3"/>
        <v>4738400</v>
      </c>
      <c r="M28" s="801">
        <f t="shared" si="3"/>
        <v>4738400</v>
      </c>
    </row>
    <row r="29" spans="1:13" ht="15">
      <c r="A29" s="781" t="s">
        <v>933</v>
      </c>
      <c r="B29" s="797"/>
      <c r="C29" s="905"/>
      <c r="D29" s="797">
        <v>200000</v>
      </c>
      <c r="E29" s="905"/>
      <c r="F29" s="797"/>
      <c r="G29" s="905"/>
      <c r="H29" s="797">
        <v>75000</v>
      </c>
      <c r="I29" s="905">
        <v>45000</v>
      </c>
      <c r="J29" s="797"/>
      <c r="K29" s="801"/>
      <c r="L29" s="886">
        <f t="shared" si="3"/>
        <v>275000</v>
      </c>
      <c r="M29" s="801">
        <f t="shared" si="3"/>
        <v>45000</v>
      </c>
    </row>
    <row r="30" spans="1:13" ht="15.75">
      <c r="A30" s="774" t="s">
        <v>2080</v>
      </c>
      <c r="B30" s="797">
        <f t="shared" ref="B30:H30" si="4">SUM(B31:B35)</f>
        <v>1148400</v>
      </c>
      <c r="C30" s="905">
        <f t="shared" si="4"/>
        <v>1148400</v>
      </c>
      <c r="D30" s="797">
        <f t="shared" si="4"/>
        <v>1944500</v>
      </c>
      <c r="E30" s="905">
        <f t="shared" si="4"/>
        <v>1944500</v>
      </c>
      <c r="F30" s="797">
        <f t="shared" si="4"/>
        <v>1424200</v>
      </c>
      <c r="G30" s="905">
        <f t="shared" si="4"/>
        <v>1424200</v>
      </c>
      <c r="H30" s="797">
        <f t="shared" si="4"/>
        <v>2196500</v>
      </c>
      <c r="I30" s="905">
        <f>SUM(I31:I35)</f>
        <v>2196500</v>
      </c>
      <c r="J30" s="797">
        <f>SUM(J31:J35)</f>
        <v>1864600</v>
      </c>
      <c r="K30" s="801">
        <f>SUM(K31:K35)</f>
        <v>1864600</v>
      </c>
      <c r="L30" s="887">
        <f t="shared" si="3"/>
        <v>8578200</v>
      </c>
      <c r="M30" s="802">
        <f t="shared" si="3"/>
        <v>8578200</v>
      </c>
    </row>
    <row r="31" spans="1:13" ht="25.5">
      <c r="A31" s="782" t="s">
        <v>692</v>
      </c>
      <c r="B31" s="803"/>
      <c r="C31" s="903"/>
      <c r="D31" s="803"/>
      <c r="E31" s="903"/>
      <c r="F31" s="803"/>
      <c r="G31" s="903"/>
      <c r="H31" s="803"/>
      <c r="I31" s="903"/>
      <c r="J31" s="803"/>
      <c r="K31" s="793"/>
      <c r="L31" s="888">
        <f t="shared" si="3"/>
        <v>0</v>
      </c>
      <c r="M31" s="793">
        <f t="shared" si="3"/>
        <v>0</v>
      </c>
    </row>
    <row r="32" spans="1:13" ht="15">
      <c r="A32" s="775" t="s">
        <v>325</v>
      </c>
      <c r="B32" s="803"/>
      <c r="C32" s="903"/>
      <c r="D32" s="803">
        <v>1728400</v>
      </c>
      <c r="E32" s="903">
        <v>1728400</v>
      </c>
      <c r="F32" s="803">
        <v>1273200</v>
      </c>
      <c r="G32" s="903">
        <v>1273200</v>
      </c>
      <c r="H32" s="803">
        <v>2127400</v>
      </c>
      <c r="I32" s="903">
        <v>2127400</v>
      </c>
      <c r="J32" s="803">
        <v>1791800</v>
      </c>
      <c r="K32" s="793">
        <v>1791800</v>
      </c>
      <c r="L32" s="889">
        <f t="shared" si="3"/>
        <v>6920800</v>
      </c>
      <c r="M32" s="804">
        <f t="shared" si="3"/>
        <v>6920800</v>
      </c>
    </row>
    <row r="33" spans="1:13" ht="15">
      <c r="A33" s="605" t="s">
        <v>2031</v>
      </c>
      <c r="B33" s="803">
        <v>1148400</v>
      </c>
      <c r="C33" s="903">
        <v>1148400</v>
      </c>
      <c r="D33" s="803">
        <v>216100</v>
      </c>
      <c r="E33" s="903">
        <v>216100</v>
      </c>
      <c r="F33" s="803">
        <v>151000</v>
      </c>
      <c r="G33" s="903">
        <v>151000</v>
      </c>
      <c r="H33" s="803">
        <v>69100</v>
      </c>
      <c r="I33" s="903">
        <v>69100</v>
      </c>
      <c r="J33" s="803">
        <v>72800</v>
      </c>
      <c r="K33" s="793">
        <v>72800</v>
      </c>
      <c r="L33" s="890">
        <f t="shared" si="3"/>
        <v>1657400</v>
      </c>
      <c r="M33" s="793">
        <f t="shared" si="3"/>
        <v>1657400</v>
      </c>
    </row>
    <row r="34" spans="1:13" ht="25.5">
      <c r="A34" s="783" t="s">
        <v>123</v>
      </c>
      <c r="B34" s="803"/>
      <c r="C34" s="903"/>
      <c r="D34" s="803"/>
      <c r="E34" s="903"/>
      <c r="F34" s="803"/>
      <c r="G34" s="903"/>
      <c r="H34" s="803"/>
      <c r="I34" s="903"/>
      <c r="J34" s="803"/>
      <c r="K34" s="793"/>
      <c r="L34" s="890">
        <f t="shared" si="3"/>
        <v>0</v>
      </c>
      <c r="M34" s="793">
        <f t="shared" si="3"/>
        <v>0</v>
      </c>
    </row>
    <row r="35" spans="1:13" ht="15">
      <c r="A35" s="783" t="s">
        <v>965</v>
      </c>
      <c r="B35" s="803"/>
      <c r="C35" s="903"/>
      <c r="D35" s="803"/>
      <c r="E35" s="903"/>
      <c r="F35" s="803"/>
      <c r="G35" s="903"/>
      <c r="H35" s="803"/>
      <c r="I35" s="903"/>
      <c r="J35" s="803"/>
      <c r="K35" s="793"/>
      <c r="L35" s="890">
        <f t="shared" si="3"/>
        <v>0</v>
      </c>
      <c r="M35" s="793">
        <f t="shared" si="3"/>
        <v>0</v>
      </c>
    </row>
    <row r="36" spans="1:13" ht="26.25">
      <c r="A36" s="781" t="s">
        <v>2091</v>
      </c>
      <c r="B36" s="797">
        <v>476900</v>
      </c>
      <c r="C36" s="905">
        <v>476900</v>
      </c>
      <c r="D36" s="797">
        <v>102800</v>
      </c>
      <c r="E36" s="905">
        <v>102800</v>
      </c>
      <c r="F36" s="797">
        <v>91400</v>
      </c>
      <c r="G36" s="905">
        <v>91400</v>
      </c>
      <c r="H36" s="797">
        <v>89100</v>
      </c>
      <c r="I36" s="905">
        <v>89100</v>
      </c>
      <c r="J36" s="797">
        <v>89700</v>
      </c>
      <c r="K36" s="801">
        <v>89700</v>
      </c>
      <c r="L36" s="891">
        <f t="shared" si="3"/>
        <v>849900</v>
      </c>
      <c r="M36" s="798">
        <f t="shared" si="3"/>
        <v>849900</v>
      </c>
    </row>
    <row r="37" spans="1:13" ht="25.5">
      <c r="A37" s="781" t="s">
        <v>2264</v>
      </c>
      <c r="B37" s="797">
        <v>700</v>
      </c>
      <c r="C37" s="905">
        <v>700</v>
      </c>
      <c r="D37" s="797">
        <v>700</v>
      </c>
      <c r="E37" s="905">
        <v>700</v>
      </c>
      <c r="F37" s="797">
        <v>700</v>
      </c>
      <c r="G37" s="905">
        <v>700</v>
      </c>
      <c r="H37" s="797">
        <v>700</v>
      </c>
      <c r="I37" s="905">
        <v>700</v>
      </c>
      <c r="J37" s="797">
        <v>700</v>
      </c>
      <c r="K37" s="801">
        <v>700</v>
      </c>
      <c r="L37" s="886">
        <f t="shared" si="3"/>
        <v>3500</v>
      </c>
      <c r="M37" s="801">
        <f t="shared" si="3"/>
        <v>3500</v>
      </c>
    </row>
    <row r="38" spans="1:13" ht="15">
      <c r="A38" s="781" t="s">
        <v>1605</v>
      </c>
      <c r="B38" s="797"/>
      <c r="C38" s="905">
        <v>0</v>
      </c>
      <c r="D38" s="797"/>
      <c r="E38" s="905"/>
      <c r="F38" s="797"/>
      <c r="G38" s="905"/>
      <c r="H38" s="797"/>
      <c r="I38" s="905"/>
      <c r="J38" s="797"/>
      <c r="K38" s="801"/>
      <c r="L38" s="886">
        <f t="shared" si="3"/>
        <v>0</v>
      </c>
      <c r="M38" s="801">
        <f t="shared" si="3"/>
        <v>0</v>
      </c>
    </row>
    <row r="39" spans="1:13" ht="15">
      <c r="A39" s="774" t="s">
        <v>686</v>
      </c>
      <c r="B39" s="797"/>
      <c r="C39" s="905"/>
      <c r="D39" s="797"/>
      <c r="E39" s="905"/>
      <c r="F39" s="797"/>
      <c r="G39" s="905"/>
      <c r="H39" s="797"/>
      <c r="I39" s="905"/>
      <c r="J39" s="797"/>
      <c r="K39" s="801"/>
      <c r="L39" s="885">
        <f t="shared" si="3"/>
        <v>0</v>
      </c>
      <c r="M39" s="801">
        <f t="shared" si="3"/>
        <v>0</v>
      </c>
    </row>
    <row r="40" spans="1:13" ht="15">
      <c r="A40" s="605" t="s">
        <v>1275</v>
      </c>
      <c r="B40" s="805">
        <v>-327855.67</v>
      </c>
      <c r="C40" s="906">
        <v>-327855.67</v>
      </c>
      <c r="D40" s="805"/>
      <c r="E40" s="906"/>
      <c r="F40" s="805">
        <v>-578000</v>
      </c>
      <c r="G40" s="906">
        <v>-578000</v>
      </c>
      <c r="H40" s="805"/>
      <c r="I40" s="906"/>
      <c r="J40" s="805"/>
      <c r="K40" s="907"/>
      <c r="L40" s="888">
        <f t="shared" si="3"/>
        <v>-905855.66999999993</v>
      </c>
      <c r="M40" s="793">
        <f t="shared" si="3"/>
        <v>-905855.66999999993</v>
      </c>
    </row>
    <row r="41" spans="1:13" ht="15.75">
      <c r="A41" s="350" t="s">
        <v>853</v>
      </c>
      <c r="B41" s="908">
        <f>B4+B26+B40</f>
        <v>22954709.699999996</v>
      </c>
      <c r="C41" s="908">
        <f t="shared" ref="C41:K41" si="5">C4+C26+C40</f>
        <v>22352626.509999998</v>
      </c>
      <c r="D41" s="908">
        <f t="shared" si="5"/>
        <v>7787100</v>
      </c>
      <c r="E41" s="908">
        <f t="shared" si="5"/>
        <v>7503043</v>
      </c>
      <c r="F41" s="908">
        <f t="shared" si="5"/>
        <v>5157500</v>
      </c>
      <c r="G41" s="908">
        <f t="shared" si="5"/>
        <v>5135978.93</v>
      </c>
      <c r="H41" s="908">
        <f t="shared" si="5"/>
        <v>4893900</v>
      </c>
      <c r="I41" s="908">
        <f t="shared" si="5"/>
        <v>4856265.28</v>
      </c>
      <c r="J41" s="908">
        <f t="shared" si="5"/>
        <v>4368605</v>
      </c>
      <c r="K41" s="908">
        <f t="shared" si="5"/>
        <v>4344916.66</v>
      </c>
      <c r="L41" s="883">
        <f t="shared" si="3"/>
        <v>45161814.699999996</v>
      </c>
      <c r="M41" s="789">
        <f t="shared" si="3"/>
        <v>44192830.379999995</v>
      </c>
    </row>
    <row r="42" spans="1:13" ht="16.5" thickBot="1">
      <c r="A42" s="844"/>
      <c r="B42" s="845" t="s">
        <v>1452</v>
      </c>
      <c r="C42" s="854" t="s">
        <v>1453</v>
      </c>
      <c r="D42" s="845" t="s">
        <v>1452</v>
      </c>
      <c r="E42" s="854" t="s">
        <v>1453</v>
      </c>
      <c r="F42" s="845" t="s">
        <v>1452</v>
      </c>
      <c r="G42" s="854" t="s">
        <v>1453</v>
      </c>
      <c r="H42" s="845" t="s">
        <v>1452</v>
      </c>
      <c r="I42" s="854" t="s">
        <v>1453</v>
      </c>
      <c r="J42" s="845" t="s">
        <v>1452</v>
      </c>
      <c r="K42" s="846" t="s">
        <v>1453</v>
      </c>
      <c r="L42" s="892" t="s">
        <v>1452</v>
      </c>
      <c r="M42" s="847" t="s">
        <v>1453</v>
      </c>
    </row>
    <row r="43" spans="1:13" ht="26.25" thickBot="1">
      <c r="A43" s="835" t="s">
        <v>2190</v>
      </c>
      <c r="B43" s="841">
        <f>B28</f>
        <v>2487000</v>
      </c>
      <c r="C43" s="841">
        <f t="shared" ref="C43:K43" si="6">C28</f>
        <v>2487000</v>
      </c>
      <c r="D43" s="841">
        <f t="shared" si="6"/>
        <v>854000</v>
      </c>
      <c r="E43" s="841">
        <f t="shared" si="6"/>
        <v>854000</v>
      </c>
      <c r="F43" s="841">
        <f t="shared" si="6"/>
        <v>673000</v>
      </c>
      <c r="G43" s="841">
        <f t="shared" si="6"/>
        <v>673000</v>
      </c>
      <c r="H43" s="841">
        <f t="shared" si="6"/>
        <v>317000</v>
      </c>
      <c r="I43" s="841">
        <f t="shared" si="6"/>
        <v>317000</v>
      </c>
      <c r="J43" s="841">
        <f t="shared" si="6"/>
        <v>407400</v>
      </c>
      <c r="K43" s="841">
        <f t="shared" si="6"/>
        <v>407400</v>
      </c>
      <c r="L43" s="893">
        <f t="shared" ref="L43:M81" si="7">B43+D43+F43+H43+J43</f>
        <v>4738400</v>
      </c>
      <c r="M43" s="836">
        <f t="shared" si="7"/>
        <v>4738400</v>
      </c>
    </row>
    <row r="44" spans="1:13" ht="15">
      <c r="A44" s="826" t="s">
        <v>843</v>
      </c>
      <c r="B44" s="840">
        <f>SUM(B45:B56)</f>
        <v>13488800</v>
      </c>
      <c r="C44" s="813">
        <f t="shared" ref="C44:K44" si="8">SUM(C45:C56)</f>
        <v>13347845.979999999</v>
      </c>
      <c r="D44" s="840">
        <f t="shared" si="8"/>
        <v>5950005</v>
      </c>
      <c r="E44" s="813">
        <f>SUM(E45:E56)</f>
        <v>5386605.8999999985</v>
      </c>
      <c r="F44" s="840">
        <f>SUM(F45:F56)</f>
        <v>4859911.6300000008</v>
      </c>
      <c r="G44" s="813">
        <f>SUM(G45:G56)</f>
        <v>4859910.2000000011</v>
      </c>
      <c r="H44" s="840">
        <f t="shared" si="8"/>
        <v>3623390</v>
      </c>
      <c r="I44" s="813">
        <f t="shared" si="8"/>
        <v>3623331.6199999996</v>
      </c>
      <c r="J44" s="840">
        <f t="shared" si="8"/>
        <v>4405977.0999999996</v>
      </c>
      <c r="K44" s="812">
        <f t="shared" si="8"/>
        <v>4405277.0999999996</v>
      </c>
      <c r="L44" s="894">
        <f t="shared" si="7"/>
        <v>32328083.730000004</v>
      </c>
      <c r="M44" s="806">
        <f t="shared" si="7"/>
        <v>31622970.799999997</v>
      </c>
    </row>
    <row r="45" spans="1:13" ht="15">
      <c r="A45" s="776" t="s">
        <v>53</v>
      </c>
      <c r="B45" s="807">
        <f t="shared" ref="B45:D47" si="9">B62+B71</f>
        <v>7502000</v>
      </c>
      <c r="C45" s="807">
        <f t="shared" si="9"/>
        <v>7388482.7800000003</v>
      </c>
      <c r="D45" s="807">
        <f t="shared" si="9"/>
        <v>3360500</v>
      </c>
      <c r="E45" s="807">
        <f t="shared" ref="E45:K45" si="10">E62+E71</f>
        <v>3060425.38</v>
      </c>
      <c r="F45" s="807">
        <f t="shared" si="10"/>
        <v>3081643.48</v>
      </c>
      <c r="G45" s="807">
        <f t="shared" si="10"/>
        <v>3081643.48</v>
      </c>
      <c r="H45" s="807">
        <f t="shared" si="10"/>
        <v>2268050</v>
      </c>
      <c r="I45" s="807">
        <f t="shared" si="10"/>
        <v>2268044.7999999998</v>
      </c>
      <c r="J45" s="807">
        <f t="shared" si="10"/>
        <v>2303768.61</v>
      </c>
      <c r="K45" s="807">
        <f t="shared" si="10"/>
        <v>2303768.61</v>
      </c>
      <c r="L45" s="808">
        <f t="shared" si="7"/>
        <v>18515962.09</v>
      </c>
      <c r="M45" s="794">
        <f t="shared" si="7"/>
        <v>18102365.050000001</v>
      </c>
    </row>
    <row r="46" spans="1:13" ht="15">
      <c r="A46" s="776" t="s">
        <v>54</v>
      </c>
      <c r="B46" s="807">
        <f t="shared" si="9"/>
        <v>303500</v>
      </c>
      <c r="C46" s="807">
        <f t="shared" si="9"/>
        <v>294475.26</v>
      </c>
      <c r="D46" s="807">
        <f t="shared" si="9"/>
        <v>210000</v>
      </c>
      <c r="E46" s="807">
        <f t="shared" ref="E46:K46" si="11">E63+E72</f>
        <v>189104.4</v>
      </c>
      <c r="F46" s="807">
        <f t="shared" si="11"/>
        <v>74889</v>
      </c>
      <c r="G46" s="807">
        <f t="shared" si="11"/>
        <v>74889</v>
      </c>
      <c r="H46" s="807">
        <f t="shared" si="11"/>
        <v>88730</v>
      </c>
      <c r="I46" s="807">
        <f t="shared" si="11"/>
        <v>88727.72</v>
      </c>
      <c r="J46" s="807">
        <f t="shared" si="11"/>
        <v>31660</v>
      </c>
      <c r="K46" s="807">
        <f t="shared" si="11"/>
        <v>31660</v>
      </c>
      <c r="L46" s="808">
        <f t="shared" si="7"/>
        <v>708779</v>
      </c>
      <c r="M46" s="794">
        <f t="shared" si="7"/>
        <v>678856.38</v>
      </c>
    </row>
    <row r="47" spans="1:13" ht="15">
      <c r="A47" s="776" t="s">
        <v>55</v>
      </c>
      <c r="B47" s="807">
        <f t="shared" si="9"/>
        <v>1950000</v>
      </c>
      <c r="C47" s="807">
        <f t="shared" si="9"/>
        <v>1936430.87</v>
      </c>
      <c r="D47" s="807">
        <f t="shared" si="9"/>
        <v>1077742</v>
      </c>
      <c r="E47" s="807">
        <f t="shared" ref="E47:K47" si="12">E64+E73</f>
        <v>863745.16999999993</v>
      </c>
      <c r="F47" s="807">
        <f t="shared" si="12"/>
        <v>939506.2</v>
      </c>
      <c r="G47" s="807">
        <f t="shared" si="12"/>
        <v>939504.77</v>
      </c>
      <c r="H47" s="807">
        <f t="shared" si="12"/>
        <v>622020</v>
      </c>
      <c r="I47" s="807">
        <f t="shared" si="12"/>
        <v>622018.22</v>
      </c>
      <c r="J47" s="807">
        <f t="shared" si="12"/>
        <v>670950.98</v>
      </c>
      <c r="K47" s="807">
        <f t="shared" si="12"/>
        <v>670950.98</v>
      </c>
      <c r="L47" s="808">
        <f t="shared" si="7"/>
        <v>5260219.18</v>
      </c>
      <c r="M47" s="794">
        <f t="shared" si="7"/>
        <v>5032650.01</v>
      </c>
    </row>
    <row r="48" spans="1:13" ht="15">
      <c r="A48" s="776" t="s">
        <v>1024</v>
      </c>
      <c r="B48" s="807">
        <f t="shared" ref="B48:K48" si="13">B74+B75</f>
        <v>315000</v>
      </c>
      <c r="C48" s="807">
        <f t="shared" si="13"/>
        <v>314604.25</v>
      </c>
      <c r="D48" s="807">
        <f t="shared" si="13"/>
        <v>63000</v>
      </c>
      <c r="E48" s="807">
        <f t="shared" si="13"/>
        <v>61819.59</v>
      </c>
      <c r="F48" s="807">
        <f t="shared" si="13"/>
        <v>41221.699999999997</v>
      </c>
      <c r="G48" s="807">
        <f t="shared" si="13"/>
        <v>41221.699999999997</v>
      </c>
      <c r="H48" s="807">
        <f t="shared" si="13"/>
        <v>194500</v>
      </c>
      <c r="I48" s="807">
        <f t="shared" si="13"/>
        <v>194487.75999999998</v>
      </c>
      <c r="J48" s="807">
        <f t="shared" si="13"/>
        <v>54678.8</v>
      </c>
      <c r="K48" s="807">
        <f t="shared" si="13"/>
        <v>54678.8</v>
      </c>
      <c r="L48" s="808">
        <f t="shared" si="7"/>
        <v>668400.5</v>
      </c>
      <c r="M48" s="794">
        <f t="shared" si="7"/>
        <v>666812.1</v>
      </c>
    </row>
    <row r="49" spans="1:13" ht="15">
      <c r="A49" s="776" t="s">
        <v>1025</v>
      </c>
      <c r="B49" s="807">
        <f t="shared" ref="B49:D50" si="14">B76</f>
        <v>165000</v>
      </c>
      <c r="C49" s="807">
        <f t="shared" si="14"/>
        <v>165000</v>
      </c>
      <c r="D49" s="807">
        <f>D76+D66</f>
        <v>49430</v>
      </c>
      <c r="E49" s="807">
        <f>E76+E66</f>
        <v>49407</v>
      </c>
      <c r="F49" s="807">
        <f t="shared" ref="F49:K49" si="15">F76</f>
        <v>18030</v>
      </c>
      <c r="G49" s="807">
        <f t="shared" si="15"/>
        <v>18030</v>
      </c>
      <c r="H49" s="807">
        <f t="shared" si="15"/>
        <v>14330</v>
      </c>
      <c r="I49" s="807">
        <f t="shared" si="15"/>
        <v>14330</v>
      </c>
      <c r="J49" s="807">
        <f t="shared" si="15"/>
        <v>21560</v>
      </c>
      <c r="K49" s="807">
        <f t="shared" si="15"/>
        <v>21560</v>
      </c>
      <c r="L49" s="808">
        <f t="shared" si="7"/>
        <v>268350</v>
      </c>
      <c r="M49" s="794">
        <f t="shared" si="7"/>
        <v>268327</v>
      </c>
    </row>
    <row r="50" spans="1:13" ht="15">
      <c r="A50" s="776" t="s">
        <v>56</v>
      </c>
      <c r="B50" s="807">
        <f t="shared" si="14"/>
        <v>324000</v>
      </c>
      <c r="C50" s="807">
        <f t="shared" si="14"/>
        <v>323518.40999999997</v>
      </c>
      <c r="D50" s="807">
        <f t="shared" si="14"/>
        <v>653300</v>
      </c>
      <c r="E50" s="807">
        <f t="shared" ref="E50:K50" si="16">E77</f>
        <v>635125.64</v>
      </c>
      <c r="F50" s="807">
        <f t="shared" si="16"/>
        <v>238688.53</v>
      </c>
      <c r="G50" s="807">
        <f t="shared" si="16"/>
        <v>238688.53</v>
      </c>
      <c r="H50" s="807">
        <f t="shared" si="16"/>
        <v>144360</v>
      </c>
      <c r="I50" s="807">
        <f t="shared" si="16"/>
        <v>144357.32</v>
      </c>
      <c r="J50" s="807">
        <f t="shared" si="16"/>
        <v>338643.24</v>
      </c>
      <c r="K50" s="807">
        <f t="shared" si="16"/>
        <v>338643.24</v>
      </c>
      <c r="L50" s="808">
        <f t="shared" si="7"/>
        <v>1698991.77</v>
      </c>
      <c r="M50" s="794">
        <f t="shared" si="7"/>
        <v>1680333.1400000001</v>
      </c>
    </row>
    <row r="51" spans="1:13" ht="15">
      <c r="A51" s="776" t="s">
        <v>1026</v>
      </c>
      <c r="B51" s="807">
        <f>B79</f>
        <v>32000</v>
      </c>
      <c r="C51" s="807">
        <f>C79</f>
        <v>31801.72</v>
      </c>
      <c r="D51" s="807">
        <f>D79</f>
        <v>0</v>
      </c>
      <c r="E51" s="807">
        <f t="shared" ref="E51:K51" si="17">E79</f>
        <v>0</v>
      </c>
      <c r="F51" s="807">
        <f t="shared" si="17"/>
        <v>0</v>
      </c>
      <c r="G51" s="807">
        <f t="shared" si="17"/>
        <v>0</v>
      </c>
      <c r="H51" s="807">
        <f t="shared" si="17"/>
        <v>147900</v>
      </c>
      <c r="I51" s="807">
        <f t="shared" si="17"/>
        <v>147900</v>
      </c>
      <c r="J51" s="807">
        <f t="shared" si="17"/>
        <v>0</v>
      </c>
      <c r="K51" s="807">
        <f t="shared" si="17"/>
        <v>0</v>
      </c>
      <c r="L51" s="808">
        <f t="shared" si="7"/>
        <v>179900</v>
      </c>
      <c r="M51" s="794">
        <f t="shared" si="7"/>
        <v>179701.72</v>
      </c>
    </row>
    <row r="52" spans="1:13" ht="15">
      <c r="A52" s="776" t="s">
        <v>1027</v>
      </c>
      <c r="B52" s="807">
        <f t="shared" ref="B52:K52" si="18">B80+B81</f>
        <v>61300</v>
      </c>
      <c r="C52" s="807">
        <f t="shared" si="18"/>
        <v>60584.87</v>
      </c>
      <c r="D52" s="807">
        <f t="shared" si="18"/>
        <v>87450</v>
      </c>
      <c r="E52" s="807">
        <f t="shared" si="18"/>
        <v>87395.7</v>
      </c>
      <c r="F52" s="807">
        <f t="shared" si="18"/>
        <v>7533.16</v>
      </c>
      <c r="G52" s="807">
        <f t="shared" si="18"/>
        <v>7533.16</v>
      </c>
      <c r="H52" s="807">
        <f t="shared" si="18"/>
        <v>12910</v>
      </c>
      <c r="I52" s="807">
        <f t="shared" si="18"/>
        <v>12905</v>
      </c>
      <c r="J52" s="807">
        <f t="shared" si="18"/>
        <v>0</v>
      </c>
      <c r="K52" s="807">
        <f t="shared" si="18"/>
        <v>0</v>
      </c>
      <c r="L52" s="808">
        <f t="shared" si="7"/>
        <v>169193.16</v>
      </c>
      <c r="M52" s="794">
        <f t="shared" si="7"/>
        <v>168418.73</v>
      </c>
    </row>
    <row r="53" spans="1:13" ht="15">
      <c r="A53" s="776" t="s">
        <v>1028</v>
      </c>
      <c r="B53" s="807">
        <f t="shared" ref="B53:K53" si="19">B82+B83+B84</f>
        <v>1663000</v>
      </c>
      <c r="C53" s="807">
        <f t="shared" si="19"/>
        <v>1661499.38</v>
      </c>
      <c r="D53" s="807">
        <f t="shared" si="19"/>
        <v>57100</v>
      </c>
      <c r="E53" s="807">
        <f t="shared" si="19"/>
        <v>51932.81</v>
      </c>
      <c r="F53" s="807">
        <f>F82+F83+F84+F67</f>
        <v>126919.99</v>
      </c>
      <c r="G53" s="807">
        <f>G82+G83+G84+G67</f>
        <v>126919.99</v>
      </c>
      <c r="H53" s="807">
        <f t="shared" si="19"/>
        <v>68550</v>
      </c>
      <c r="I53" s="807">
        <f t="shared" si="19"/>
        <v>68544.75</v>
      </c>
      <c r="J53" s="807">
        <f t="shared" si="19"/>
        <v>202219.91</v>
      </c>
      <c r="K53" s="807">
        <f t="shared" si="19"/>
        <v>202219.91</v>
      </c>
      <c r="L53" s="808">
        <f t="shared" si="7"/>
        <v>2117789.9</v>
      </c>
      <c r="M53" s="794">
        <f t="shared" si="7"/>
        <v>2111116.84</v>
      </c>
    </row>
    <row r="54" spans="1:13" ht="15">
      <c r="A54" s="776" t="s">
        <v>60</v>
      </c>
      <c r="B54" s="807">
        <f>B85+B86+B95</f>
        <v>626300</v>
      </c>
      <c r="C54" s="807">
        <f>C85+C86+C95</f>
        <v>625451.34</v>
      </c>
      <c r="D54" s="807">
        <f>D85+D86+D68</f>
        <v>14800</v>
      </c>
      <c r="E54" s="807">
        <f>E85+E86+E68</f>
        <v>14612.81</v>
      </c>
      <c r="F54" s="807">
        <f>F85+F86+F68</f>
        <v>5898.57</v>
      </c>
      <c r="G54" s="807">
        <f>G85+G86+G68</f>
        <v>5898.57</v>
      </c>
      <c r="H54" s="807">
        <f>H85+H86</f>
        <v>830</v>
      </c>
      <c r="I54" s="807">
        <f>I85+I86</f>
        <v>822.05</v>
      </c>
      <c r="J54" s="807">
        <f>J85+J86+J95</f>
        <v>2997.46</v>
      </c>
      <c r="K54" s="807">
        <f>K85+K86</f>
        <v>2997.46</v>
      </c>
      <c r="L54" s="808">
        <f t="shared" si="7"/>
        <v>650826.02999999991</v>
      </c>
      <c r="M54" s="794">
        <f t="shared" si="7"/>
        <v>649782.23</v>
      </c>
    </row>
    <row r="55" spans="1:13" ht="15">
      <c r="A55" s="351">
        <v>310</v>
      </c>
      <c r="B55" s="807">
        <f t="shared" ref="B55:K55" si="20">B87+B88</f>
        <v>22000</v>
      </c>
      <c r="C55" s="807">
        <f t="shared" si="20"/>
        <v>21724</v>
      </c>
      <c r="D55" s="807">
        <f t="shared" si="20"/>
        <v>54000</v>
      </c>
      <c r="E55" s="807">
        <f t="shared" si="20"/>
        <v>52710</v>
      </c>
      <c r="F55" s="807">
        <f t="shared" si="20"/>
        <v>103580</v>
      </c>
      <c r="G55" s="807">
        <f t="shared" si="20"/>
        <v>103580</v>
      </c>
      <c r="H55" s="807">
        <f t="shared" si="20"/>
        <v>20460</v>
      </c>
      <c r="I55" s="807">
        <f t="shared" si="20"/>
        <v>20453</v>
      </c>
      <c r="J55" s="807">
        <f t="shared" si="20"/>
        <v>742015</v>
      </c>
      <c r="K55" s="807">
        <f t="shared" si="20"/>
        <v>742015</v>
      </c>
      <c r="L55" s="808">
        <f t="shared" si="7"/>
        <v>942055</v>
      </c>
      <c r="M55" s="794">
        <f t="shared" si="7"/>
        <v>940482</v>
      </c>
    </row>
    <row r="56" spans="1:13" ht="15">
      <c r="A56" s="921">
        <v>340</v>
      </c>
      <c r="B56" s="807">
        <f t="shared" ref="B56:G56" si="21">B69+B91+B89+B97+B90</f>
        <v>524700</v>
      </c>
      <c r="C56" s="807">
        <f t="shared" si="21"/>
        <v>524273.1</v>
      </c>
      <c r="D56" s="807">
        <f t="shared" si="21"/>
        <v>322683</v>
      </c>
      <c r="E56" s="807">
        <f t="shared" si="21"/>
        <v>320327.40000000002</v>
      </c>
      <c r="F56" s="807">
        <f t="shared" si="21"/>
        <v>222001</v>
      </c>
      <c r="G56" s="807">
        <f t="shared" si="21"/>
        <v>222001</v>
      </c>
      <c r="H56" s="807">
        <f>H69+H91+H89+H97</f>
        <v>40750</v>
      </c>
      <c r="I56" s="807">
        <f>I69+I91+I89+I97</f>
        <v>40741</v>
      </c>
      <c r="J56" s="807">
        <f>J69+J91+J89+J97</f>
        <v>37483.1</v>
      </c>
      <c r="K56" s="807">
        <f>K69+K91+K89</f>
        <v>36783.1</v>
      </c>
      <c r="L56" s="808">
        <f t="shared" si="7"/>
        <v>1147617.1000000001</v>
      </c>
      <c r="M56" s="794">
        <f t="shared" si="7"/>
        <v>1144125.6000000001</v>
      </c>
    </row>
    <row r="57" spans="1:13" ht="15">
      <c r="A57" s="911"/>
      <c r="B57" s="912"/>
      <c r="C57" s="912"/>
      <c r="D57" s="912"/>
      <c r="E57" s="912"/>
      <c r="F57" s="912"/>
      <c r="G57" s="912"/>
      <c r="H57" s="912"/>
      <c r="I57" s="912"/>
      <c r="J57" s="912"/>
      <c r="K57" s="912"/>
      <c r="L57" s="912"/>
      <c r="M57" s="912"/>
    </row>
    <row r="58" spans="1:13" ht="15">
      <c r="A58" s="911"/>
      <c r="B58" s="912"/>
      <c r="C58" s="912"/>
      <c r="D58" s="912"/>
      <c r="E58" s="912"/>
      <c r="F58" s="912"/>
      <c r="G58" s="912"/>
      <c r="H58" s="912"/>
      <c r="I58" s="912"/>
      <c r="J58" s="912"/>
      <c r="K58" s="912"/>
      <c r="L58" s="912"/>
      <c r="M58" s="912"/>
    </row>
    <row r="59" spans="1:13" ht="15">
      <c r="A59" s="352"/>
      <c r="B59" s="2645" t="s">
        <v>1280</v>
      </c>
      <c r="C59" s="2650"/>
      <c r="D59" s="2645" t="s">
        <v>1281</v>
      </c>
      <c r="E59" s="2650"/>
      <c r="F59" s="2645" t="s">
        <v>1282</v>
      </c>
      <c r="G59" s="2650"/>
      <c r="H59" s="2645" t="s">
        <v>1283</v>
      </c>
      <c r="I59" s="2650"/>
      <c r="J59" s="2645" t="s">
        <v>1284</v>
      </c>
      <c r="K59" s="2646"/>
      <c r="L59" s="822" t="s">
        <v>36</v>
      </c>
      <c r="M59" s="785" t="s">
        <v>844</v>
      </c>
    </row>
    <row r="60" spans="1:13" ht="15">
      <c r="A60" s="352"/>
      <c r="B60" s="787" t="s">
        <v>1450</v>
      </c>
      <c r="C60" s="877" t="s">
        <v>1451</v>
      </c>
      <c r="D60" s="787" t="s">
        <v>1450</v>
      </c>
      <c r="E60" s="877" t="s">
        <v>1451</v>
      </c>
      <c r="F60" s="787" t="s">
        <v>1450</v>
      </c>
      <c r="G60" s="877" t="s">
        <v>1451</v>
      </c>
      <c r="H60" s="787" t="s">
        <v>1450</v>
      </c>
      <c r="I60" s="877" t="s">
        <v>1451</v>
      </c>
      <c r="J60" s="787" t="s">
        <v>1450</v>
      </c>
      <c r="K60" s="786" t="s">
        <v>1451</v>
      </c>
      <c r="L60" s="837" t="s">
        <v>1450</v>
      </c>
      <c r="M60" s="786" t="s">
        <v>1451</v>
      </c>
    </row>
    <row r="61" spans="1:13" ht="15">
      <c r="A61" s="828">
        <v>102</v>
      </c>
      <c r="B61" s="839">
        <f t="shared" ref="B61:I61" si="22">B62+B63+B64</f>
        <v>1345500</v>
      </c>
      <c r="C61" s="878">
        <f t="shared" si="22"/>
        <v>1235314.1099999999</v>
      </c>
      <c r="D61" s="839">
        <f t="shared" si="22"/>
        <v>876842</v>
      </c>
      <c r="E61" s="878">
        <f t="shared" si="22"/>
        <v>870183.58</v>
      </c>
      <c r="F61" s="839">
        <f t="shared" si="22"/>
        <v>762223.55</v>
      </c>
      <c r="G61" s="878">
        <f t="shared" si="22"/>
        <v>762223.55</v>
      </c>
      <c r="H61" s="839">
        <f t="shared" si="22"/>
        <v>611790</v>
      </c>
      <c r="I61" s="878">
        <f t="shared" si="22"/>
        <v>611788.74</v>
      </c>
      <c r="J61" s="839">
        <f>SUM(J62:J64)</f>
        <v>561830.23</v>
      </c>
      <c r="K61" s="809">
        <f>K62+K63+K64</f>
        <v>561830.23</v>
      </c>
      <c r="L61" s="816">
        <f t="shared" si="7"/>
        <v>4158185.78</v>
      </c>
      <c r="M61" s="811">
        <f t="shared" si="7"/>
        <v>4041340.2100000004</v>
      </c>
    </row>
    <row r="62" spans="1:13" ht="15">
      <c r="A62" s="351" t="s">
        <v>1351</v>
      </c>
      <c r="B62" s="807">
        <v>1102000</v>
      </c>
      <c r="C62" s="784">
        <v>999930</v>
      </c>
      <c r="D62" s="807">
        <v>662500</v>
      </c>
      <c r="E62" s="784">
        <v>662085.48</v>
      </c>
      <c r="F62" s="807">
        <v>576138.35</v>
      </c>
      <c r="G62" s="784">
        <v>576138.35</v>
      </c>
      <c r="H62" s="807">
        <v>483230</v>
      </c>
      <c r="I62" s="784">
        <v>483228.81</v>
      </c>
      <c r="J62" s="807">
        <v>431513.23</v>
      </c>
      <c r="K62" s="794">
        <v>431513.23</v>
      </c>
      <c r="L62" s="808">
        <f t="shared" si="7"/>
        <v>3255381.58</v>
      </c>
      <c r="M62" s="794">
        <f t="shared" si="7"/>
        <v>3152895.87</v>
      </c>
    </row>
    <row r="63" spans="1:13" ht="15">
      <c r="A63" s="351" t="s">
        <v>915</v>
      </c>
      <c r="B63" s="807">
        <v>3500</v>
      </c>
      <c r="C63" s="784">
        <v>3450</v>
      </c>
      <c r="D63" s="807"/>
      <c r="E63" s="784"/>
      <c r="F63" s="807">
        <v>18779</v>
      </c>
      <c r="G63" s="784">
        <v>18779</v>
      </c>
      <c r="H63" s="807"/>
      <c r="I63" s="784"/>
      <c r="J63" s="807"/>
      <c r="K63" s="794"/>
      <c r="L63" s="808">
        <f t="shared" si="7"/>
        <v>22279</v>
      </c>
      <c r="M63" s="794">
        <f t="shared" si="7"/>
        <v>22229</v>
      </c>
    </row>
    <row r="64" spans="1:13" ht="15">
      <c r="A64" s="351" t="s">
        <v>1352</v>
      </c>
      <c r="B64" s="807">
        <v>240000</v>
      </c>
      <c r="C64" s="784">
        <v>231934.11</v>
      </c>
      <c r="D64" s="807">
        <v>214342</v>
      </c>
      <c r="E64" s="784">
        <v>208098.1</v>
      </c>
      <c r="F64" s="807">
        <v>167306.20000000001</v>
      </c>
      <c r="G64" s="784">
        <v>167306.20000000001</v>
      </c>
      <c r="H64" s="807">
        <v>128560</v>
      </c>
      <c r="I64" s="784">
        <v>128559.93</v>
      </c>
      <c r="J64" s="807">
        <v>130317</v>
      </c>
      <c r="K64" s="794">
        <v>130317</v>
      </c>
      <c r="L64" s="808">
        <f t="shared" si="7"/>
        <v>880525.2</v>
      </c>
      <c r="M64" s="794">
        <f t="shared" si="7"/>
        <v>866215.33999999985</v>
      </c>
    </row>
    <row r="65" spans="1:13" ht="15">
      <c r="A65" s="828">
        <v>103</v>
      </c>
      <c r="B65" s="839">
        <f>B67+B68</f>
        <v>0</v>
      </c>
      <c r="C65" s="878">
        <f>SUM(C67:C69)</f>
        <v>0</v>
      </c>
      <c r="D65" s="839">
        <f>D67+D69+D68+D66</f>
        <v>19830</v>
      </c>
      <c r="E65" s="878">
        <f>E67+E69+E68+E66</f>
        <v>19830</v>
      </c>
      <c r="F65" s="839">
        <f>F67+F68+F69</f>
        <v>5580</v>
      </c>
      <c r="G65" s="878">
        <f>SUM(G67:G69)</f>
        <v>5580</v>
      </c>
      <c r="H65" s="839">
        <f>H67</f>
        <v>0</v>
      </c>
      <c r="I65" s="878">
        <f>I67</f>
        <v>0</v>
      </c>
      <c r="J65" s="839">
        <f>J67</f>
        <v>0</v>
      </c>
      <c r="K65" s="809">
        <f>K67</f>
        <v>0</v>
      </c>
      <c r="L65" s="816">
        <f t="shared" si="7"/>
        <v>25410</v>
      </c>
      <c r="M65" s="811">
        <f t="shared" si="7"/>
        <v>25410</v>
      </c>
    </row>
    <row r="66" spans="1:13" ht="15">
      <c r="A66" s="829" t="s">
        <v>2025</v>
      </c>
      <c r="B66" s="1582"/>
      <c r="C66" s="1583"/>
      <c r="D66" s="1582">
        <v>14330</v>
      </c>
      <c r="E66" s="1583">
        <v>14330</v>
      </c>
      <c r="F66" s="1582"/>
      <c r="G66" s="1583"/>
      <c r="H66" s="1582"/>
      <c r="I66" s="1583"/>
      <c r="J66" s="1582"/>
      <c r="K66" s="1584"/>
      <c r="L66" s="808">
        <f t="shared" si="7"/>
        <v>14330</v>
      </c>
      <c r="M66" s="794">
        <f t="shared" si="7"/>
        <v>14330</v>
      </c>
    </row>
    <row r="67" spans="1:13" ht="15">
      <c r="A67" s="829" t="s">
        <v>2026</v>
      </c>
      <c r="B67" s="807"/>
      <c r="C67" s="784"/>
      <c r="D67" s="807"/>
      <c r="E67" s="784"/>
      <c r="F67" s="807">
        <v>5580</v>
      </c>
      <c r="G67" s="784">
        <v>5580</v>
      </c>
      <c r="H67" s="807"/>
      <c r="I67" s="784"/>
      <c r="J67" s="807"/>
      <c r="K67" s="794"/>
      <c r="L67" s="808">
        <f t="shared" si="7"/>
        <v>5580</v>
      </c>
      <c r="M67" s="794">
        <f t="shared" si="7"/>
        <v>5580</v>
      </c>
    </row>
    <row r="68" spans="1:13" ht="15">
      <c r="A68" s="351" t="s">
        <v>2028</v>
      </c>
      <c r="B68" s="807"/>
      <c r="C68" s="784"/>
      <c r="D68" s="807">
        <v>500</v>
      </c>
      <c r="E68" s="784">
        <v>500</v>
      </c>
      <c r="F68" s="807"/>
      <c r="G68" s="784"/>
      <c r="H68" s="807"/>
      <c r="I68" s="784"/>
      <c r="J68" s="807"/>
      <c r="K68" s="794"/>
      <c r="L68" s="808">
        <f t="shared" si="7"/>
        <v>500</v>
      </c>
      <c r="M68" s="794">
        <f t="shared" si="7"/>
        <v>500</v>
      </c>
    </row>
    <row r="69" spans="1:13" ht="15">
      <c r="A69" s="829" t="s">
        <v>2029</v>
      </c>
      <c r="B69" s="807"/>
      <c r="C69" s="784"/>
      <c r="D69" s="807">
        <v>5000</v>
      </c>
      <c r="E69" s="784">
        <v>5000</v>
      </c>
      <c r="F69" s="807"/>
      <c r="G69" s="784"/>
      <c r="H69" s="807"/>
      <c r="I69" s="784"/>
      <c r="J69" s="807"/>
      <c r="K69" s="794"/>
      <c r="L69" s="808">
        <f t="shared" si="7"/>
        <v>5000</v>
      </c>
      <c r="M69" s="794">
        <f t="shared" si="7"/>
        <v>5000</v>
      </c>
    </row>
    <row r="70" spans="1:13" ht="15">
      <c r="A70" s="828">
        <v>104</v>
      </c>
      <c r="B70" s="839">
        <f>SUM(B71:B91)</f>
        <v>12092600</v>
      </c>
      <c r="C70" s="839">
        <f t="shared" ref="C70:K70" si="23">SUM(C71:C91)</f>
        <v>12061831.869999999</v>
      </c>
      <c r="D70" s="839">
        <f t="shared" si="23"/>
        <v>5052633</v>
      </c>
      <c r="E70" s="839">
        <f t="shared" si="23"/>
        <v>4496592.32</v>
      </c>
      <c r="F70" s="839">
        <f t="shared" si="23"/>
        <v>4091408.0799999996</v>
      </c>
      <c r="G70" s="839">
        <f t="shared" si="23"/>
        <v>4091406.6499999994</v>
      </c>
      <c r="H70" s="839">
        <f t="shared" si="23"/>
        <v>3010900</v>
      </c>
      <c r="I70" s="839">
        <f t="shared" si="23"/>
        <v>3010842.8799999994</v>
      </c>
      <c r="J70" s="839">
        <f t="shared" si="23"/>
        <v>3843446.8699999996</v>
      </c>
      <c r="K70" s="839">
        <f t="shared" si="23"/>
        <v>3843446.8699999996</v>
      </c>
      <c r="L70" s="816">
        <f t="shared" si="7"/>
        <v>28090987.949999999</v>
      </c>
      <c r="M70" s="811">
        <f t="shared" si="7"/>
        <v>27504120.59</v>
      </c>
    </row>
    <row r="71" spans="1:13" ht="15">
      <c r="A71" s="351" t="s">
        <v>2030</v>
      </c>
      <c r="B71" s="807">
        <v>6400000</v>
      </c>
      <c r="C71" s="784">
        <v>6388552.7800000003</v>
      </c>
      <c r="D71" s="807">
        <v>2698000</v>
      </c>
      <c r="E71" s="784">
        <v>2398339.9</v>
      </c>
      <c r="F71" s="807">
        <v>2505505.13</v>
      </c>
      <c r="G71" s="784">
        <v>2505505.13</v>
      </c>
      <c r="H71" s="838">
        <v>1784820</v>
      </c>
      <c r="I71" s="784">
        <v>1784815.99</v>
      </c>
      <c r="J71" s="807">
        <v>1872255.38</v>
      </c>
      <c r="K71" s="794">
        <v>1872255.38</v>
      </c>
      <c r="L71" s="808">
        <f t="shared" si="7"/>
        <v>15260580.509999998</v>
      </c>
      <c r="M71" s="794">
        <f t="shared" si="7"/>
        <v>14949469.18</v>
      </c>
    </row>
    <row r="72" spans="1:13" ht="15">
      <c r="A72" s="351" t="s">
        <v>916</v>
      </c>
      <c r="B72" s="807">
        <v>300000</v>
      </c>
      <c r="C72" s="784">
        <v>291025.26</v>
      </c>
      <c r="D72" s="807">
        <v>210000</v>
      </c>
      <c r="E72" s="784">
        <v>189104.4</v>
      </c>
      <c r="F72" s="807">
        <v>56110</v>
      </c>
      <c r="G72" s="784">
        <v>56110</v>
      </c>
      <c r="H72" s="838">
        <v>88730</v>
      </c>
      <c r="I72" s="784">
        <v>88727.72</v>
      </c>
      <c r="J72" s="807">
        <v>31660</v>
      </c>
      <c r="K72" s="794">
        <v>31660</v>
      </c>
      <c r="L72" s="808">
        <f t="shared" si="7"/>
        <v>686500</v>
      </c>
      <c r="M72" s="794">
        <f t="shared" si="7"/>
        <v>656627.38</v>
      </c>
    </row>
    <row r="73" spans="1:13" ht="15">
      <c r="A73" s="351" t="s">
        <v>917</v>
      </c>
      <c r="B73" s="807">
        <v>1710000</v>
      </c>
      <c r="C73" s="784">
        <v>1704496.76</v>
      </c>
      <c r="D73" s="807">
        <v>863400</v>
      </c>
      <c r="E73" s="784">
        <v>655647.06999999995</v>
      </c>
      <c r="F73" s="807">
        <v>772200</v>
      </c>
      <c r="G73" s="784">
        <v>772198.57</v>
      </c>
      <c r="H73" s="838">
        <v>493460</v>
      </c>
      <c r="I73" s="784">
        <v>493458.29</v>
      </c>
      <c r="J73" s="807">
        <v>540633.98</v>
      </c>
      <c r="K73" s="794">
        <v>540633.98</v>
      </c>
      <c r="L73" s="808">
        <f t="shared" si="7"/>
        <v>4379693.9800000004</v>
      </c>
      <c r="M73" s="794">
        <f t="shared" si="7"/>
        <v>4166434.67</v>
      </c>
    </row>
    <row r="74" spans="1:13" ht="15">
      <c r="A74" s="351" t="s">
        <v>1294</v>
      </c>
      <c r="B74" s="807">
        <v>315000</v>
      </c>
      <c r="C74" s="784">
        <v>314604.25</v>
      </c>
      <c r="D74" s="807">
        <v>59000</v>
      </c>
      <c r="E74" s="784">
        <v>58413.89</v>
      </c>
      <c r="F74" s="807">
        <v>25800</v>
      </c>
      <c r="G74" s="784">
        <v>25800</v>
      </c>
      <c r="H74" s="838">
        <v>193988</v>
      </c>
      <c r="I74" s="784">
        <v>193976.71</v>
      </c>
      <c r="J74" s="807">
        <v>54678.8</v>
      </c>
      <c r="K74" s="794">
        <v>54678.8</v>
      </c>
      <c r="L74" s="808">
        <f t="shared" si="7"/>
        <v>648466.80000000005</v>
      </c>
      <c r="M74" s="794">
        <f t="shared" si="7"/>
        <v>647473.65</v>
      </c>
    </row>
    <row r="75" spans="1:13" ht="15">
      <c r="A75" s="351" t="s">
        <v>1301</v>
      </c>
      <c r="B75" s="807"/>
      <c r="C75" s="784"/>
      <c r="D75" s="807">
        <v>4000</v>
      </c>
      <c r="E75" s="784">
        <v>3405.7</v>
      </c>
      <c r="F75" s="807">
        <v>15421.7</v>
      </c>
      <c r="G75" s="784">
        <v>15421.7</v>
      </c>
      <c r="H75" s="807">
        <v>512</v>
      </c>
      <c r="I75" s="784">
        <v>511.05</v>
      </c>
      <c r="J75" s="807"/>
      <c r="K75" s="794"/>
      <c r="L75" s="808">
        <f t="shared" si="7"/>
        <v>19933.7</v>
      </c>
      <c r="M75" s="794">
        <f t="shared" si="7"/>
        <v>19338.45</v>
      </c>
    </row>
    <row r="76" spans="1:13" ht="15">
      <c r="A76" s="351" t="s">
        <v>918</v>
      </c>
      <c r="B76" s="807">
        <v>165000</v>
      </c>
      <c r="C76" s="784">
        <v>165000</v>
      </c>
      <c r="D76" s="807">
        <v>35100</v>
      </c>
      <c r="E76" s="784">
        <v>35077</v>
      </c>
      <c r="F76" s="807">
        <v>18030</v>
      </c>
      <c r="G76" s="784">
        <v>18030</v>
      </c>
      <c r="H76" s="807">
        <v>14330</v>
      </c>
      <c r="I76" s="784">
        <v>14330</v>
      </c>
      <c r="J76" s="807">
        <v>21560</v>
      </c>
      <c r="K76" s="794">
        <v>21560</v>
      </c>
      <c r="L76" s="808">
        <f t="shared" si="7"/>
        <v>254020</v>
      </c>
      <c r="M76" s="794">
        <f t="shared" si="7"/>
        <v>253997</v>
      </c>
    </row>
    <row r="77" spans="1:13" ht="15">
      <c r="A77" s="351" t="s">
        <v>900</v>
      </c>
      <c r="B77" s="807">
        <v>324000</v>
      </c>
      <c r="C77" s="784">
        <v>323518.40999999997</v>
      </c>
      <c r="D77" s="807">
        <v>653300</v>
      </c>
      <c r="E77" s="784">
        <v>635125.64</v>
      </c>
      <c r="F77" s="807">
        <v>238688.53</v>
      </c>
      <c r="G77" s="784">
        <v>238688.53</v>
      </c>
      <c r="H77" s="807">
        <v>144360</v>
      </c>
      <c r="I77" s="784">
        <v>144357.32</v>
      </c>
      <c r="J77" s="807">
        <v>338643.24</v>
      </c>
      <c r="K77" s="794">
        <v>338643.24</v>
      </c>
      <c r="L77" s="808">
        <f t="shared" si="7"/>
        <v>1698991.77</v>
      </c>
      <c r="M77" s="794">
        <f t="shared" si="7"/>
        <v>1680333.1400000001</v>
      </c>
    </row>
    <row r="78" spans="1:13" ht="15">
      <c r="A78" s="351" t="s">
        <v>919</v>
      </c>
      <c r="B78" s="807"/>
      <c r="C78" s="784"/>
      <c r="D78" s="807"/>
      <c r="E78" s="784"/>
      <c r="F78" s="807"/>
      <c r="G78" s="784"/>
      <c r="H78" s="807"/>
      <c r="I78" s="784"/>
      <c r="J78" s="807"/>
      <c r="K78" s="794"/>
      <c r="L78" s="808">
        <f t="shared" si="7"/>
        <v>0</v>
      </c>
      <c r="M78" s="794">
        <f t="shared" si="7"/>
        <v>0</v>
      </c>
    </row>
    <row r="79" spans="1:13" ht="15">
      <c r="A79" s="351" t="s">
        <v>1295</v>
      </c>
      <c r="B79" s="807">
        <v>32000</v>
      </c>
      <c r="C79" s="784">
        <v>31801.72</v>
      </c>
      <c r="D79" s="807"/>
      <c r="E79" s="784"/>
      <c r="F79" s="807"/>
      <c r="G79" s="784"/>
      <c r="H79" s="807">
        <v>147900</v>
      </c>
      <c r="I79" s="784">
        <v>147900</v>
      </c>
      <c r="J79" s="807"/>
      <c r="K79" s="794"/>
      <c r="L79" s="808">
        <f t="shared" si="7"/>
        <v>179900</v>
      </c>
      <c r="M79" s="794">
        <f t="shared" si="7"/>
        <v>179701.72</v>
      </c>
    </row>
    <row r="80" spans="1:13" ht="15">
      <c r="A80" s="351" t="s">
        <v>901</v>
      </c>
      <c r="B80" s="807">
        <v>11300</v>
      </c>
      <c r="C80" s="784">
        <v>11300</v>
      </c>
      <c r="D80" s="807">
        <v>2150</v>
      </c>
      <c r="E80" s="784">
        <v>2150</v>
      </c>
      <c r="F80" s="807"/>
      <c r="G80" s="784"/>
      <c r="H80" s="807">
        <v>2900</v>
      </c>
      <c r="I80" s="784">
        <v>2900</v>
      </c>
      <c r="J80" s="807"/>
      <c r="K80" s="794"/>
      <c r="L80" s="808">
        <f t="shared" si="7"/>
        <v>16350</v>
      </c>
      <c r="M80" s="794">
        <f t="shared" si="7"/>
        <v>16350</v>
      </c>
    </row>
    <row r="81" spans="1:13" ht="15">
      <c r="A81" s="351" t="s">
        <v>1296</v>
      </c>
      <c r="B81" s="807">
        <v>50000</v>
      </c>
      <c r="C81" s="784">
        <v>49284.87</v>
      </c>
      <c r="D81" s="807">
        <v>85300</v>
      </c>
      <c r="E81" s="784">
        <v>85245.7</v>
      </c>
      <c r="F81" s="807">
        <v>7533.16</v>
      </c>
      <c r="G81" s="784">
        <v>7533.16</v>
      </c>
      <c r="H81" s="807">
        <v>10010</v>
      </c>
      <c r="I81" s="784">
        <v>10005</v>
      </c>
      <c r="J81" s="807"/>
      <c r="K81" s="794"/>
      <c r="L81" s="808">
        <f t="shared" si="7"/>
        <v>152843.16</v>
      </c>
      <c r="M81" s="794">
        <f t="shared" si="7"/>
        <v>152068.73000000001</v>
      </c>
    </row>
    <row r="82" spans="1:13" ht="15">
      <c r="A82" s="351" t="s">
        <v>902</v>
      </c>
      <c r="B82" s="807">
        <v>676000</v>
      </c>
      <c r="C82" s="784">
        <v>675702.36</v>
      </c>
      <c r="D82" s="807"/>
      <c r="E82" s="784"/>
      <c r="F82" s="807"/>
      <c r="G82" s="784"/>
      <c r="H82" s="807"/>
      <c r="I82" s="784"/>
      <c r="J82" s="807"/>
      <c r="K82" s="794"/>
      <c r="L82" s="808">
        <f t="shared" ref="L82:M91" si="24">B82+D82+F82+H82+J82</f>
        <v>676000</v>
      </c>
      <c r="M82" s="794">
        <f t="shared" si="24"/>
        <v>675702.36</v>
      </c>
    </row>
    <row r="83" spans="1:13" ht="15">
      <c r="A83" s="351" t="s">
        <v>1302</v>
      </c>
      <c r="B83" s="807">
        <v>262000</v>
      </c>
      <c r="C83" s="784">
        <v>261105.1</v>
      </c>
      <c r="D83" s="807">
        <v>27000</v>
      </c>
      <c r="E83" s="784">
        <v>26626.41</v>
      </c>
      <c r="F83" s="807">
        <v>27774.44</v>
      </c>
      <c r="G83" s="784">
        <v>27774.44</v>
      </c>
      <c r="H83" s="807">
        <v>12260</v>
      </c>
      <c r="I83" s="784">
        <v>12256</v>
      </c>
      <c r="J83" s="807">
        <v>26884</v>
      </c>
      <c r="K83" s="794">
        <v>26884</v>
      </c>
      <c r="L83" s="808">
        <f t="shared" si="24"/>
        <v>355918.44</v>
      </c>
      <c r="M83" s="794">
        <f t="shared" si="24"/>
        <v>354645.95</v>
      </c>
    </row>
    <row r="84" spans="1:13" ht="15">
      <c r="A84" s="351" t="s">
        <v>1297</v>
      </c>
      <c r="B84" s="807">
        <v>725000</v>
      </c>
      <c r="C84" s="784">
        <v>724691.92</v>
      </c>
      <c r="D84" s="807">
        <v>30100</v>
      </c>
      <c r="E84" s="784">
        <v>25306.400000000001</v>
      </c>
      <c r="F84" s="807">
        <v>93565.55</v>
      </c>
      <c r="G84" s="784">
        <v>93565.55</v>
      </c>
      <c r="H84" s="807">
        <v>56290</v>
      </c>
      <c r="I84" s="784">
        <v>56288.75</v>
      </c>
      <c r="J84" s="807">
        <v>175335.91</v>
      </c>
      <c r="K84" s="794">
        <v>175335.91</v>
      </c>
      <c r="L84" s="808">
        <f t="shared" si="24"/>
        <v>1080291.46</v>
      </c>
      <c r="M84" s="794">
        <f t="shared" si="24"/>
        <v>1075188.53</v>
      </c>
    </row>
    <row r="85" spans="1:13" ht="15">
      <c r="A85" s="351" t="s">
        <v>1298</v>
      </c>
      <c r="B85" s="807">
        <v>1300</v>
      </c>
      <c r="C85" s="784">
        <v>1300</v>
      </c>
      <c r="D85" s="807">
        <v>5300</v>
      </c>
      <c r="E85" s="784">
        <v>5290</v>
      </c>
      <c r="F85" s="807"/>
      <c r="G85" s="784"/>
      <c r="H85" s="807">
        <v>410</v>
      </c>
      <c r="I85" s="784">
        <v>410</v>
      </c>
      <c r="J85" s="807"/>
      <c r="K85" s="794"/>
      <c r="L85" s="808">
        <f t="shared" si="24"/>
        <v>7010</v>
      </c>
      <c r="M85" s="794">
        <f t="shared" si="24"/>
        <v>7000</v>
      </c>
    </row>
    <row r="86" spans="1:13" ht="15">
      <c r="A86" s="351" t="s">
        <v>1407</v>
      </c>
      <c r="B86" s="807">
        <v>575000</v>
      </c>
      <c r="C86" s="784">
        <v>574151.34</v>
      </c>
      <c r="D86" s="807">
        <v>9000</v>
      </c>
      <c r="E86" s="784">
        <v>8822.81</v>
      </c>
      <c r="F86" s="807">
        <v>5898.57</v>
      </c>
      <c r="G86" s="784">
        <v>5898.57</v>
      </c>
      <c r="H86" s="807">
        <v>420</v>
      </c>
      <c r="I86" s="784">
        <v>412.05</v>
      </c>
      <c r="J86" s="807">
        <v>2997.46</v>
      </c>
      <c r="K86" s="794">
        <v>2997.46</v>
      </c>
      <c r="L86" s="808">
        <f t="shared" si="24"/>
        <v>593316.02999999991</v>
      </c>
      <c r="M86" s="794">
        <f t="shared" si="24"/>
        <v>592282.23</v>
      </c>
    </row>
    <row r="87" spans="1:13" ht="15">
      <c r="A87" s="351" t="s">
        <v>1303</v>
      </c>
      <c r="B87" s="807"/>
      <c r="C87" s="784"/>
      <c r="D87" s="807">
        <v>50000</v>
      </c>
      <c r="E87" s="784">
        <v>49410</v>
      </c>
      <c r="F87" s="807">
        <v>7000</v>
      </c>
      <c r="G87" s="784">
        <v>7000</v>
      </c>
      <c r="H87" s="807">
        <v>20460</v>
      </c>
      <c r="I87" s="784">
        <v>20453</v>
      </c>
      <c r="J87" s="807">
        <v>111465</v>
      </c>
      <c r="K87" s="794">
        <v>111465</v>
      </c>
      <c r="L87" s="808">
        <f t="shared" si="24"/>
        <v>188925</v>
      </c>
      <c r="M87" s="794">
        <f t="shared" si="24"/>
        <v>188328</v>
      </c>
    </row>
    <row r="88" spans="1:13" ht="15">
      <c r="A88" s="351" t="s">
        <v>1299</v>
      </c>
      <c r="B88" s="807">
        <v>22000</v>
      </c>
      <c r="C88" s="784">
        <v>21724</v>
      </c>
      <c r="D88" s="807">
        <v>4000</v>
      </c>
      <c r="E88" s="784">
        <v>3300</v>
      </c>
      <c r="F88" s="807">
        <v>96580</v>
      </c>
      <c r="G88" s="784">
        <v>96580</v>
      </c>
      <c r="H88" s="807"/>
      <c r="I88" s="784"/>
      <c r="J88" s="807">
        <v>630550</v>
      </c>
      <c r="K88" s="794">
        <v>630550</v>
      </c>
      <c r="L88" s="808">
        <f t="shared" si="24"/>
        <v>753130</v>
      </c>
      <c r="M88" s="794">
        <f t="shared" si="24"/>
        <v>752154</v>
      </c>
    </row>
    <row r="89" spans="1:13" ht="15">
      <c r="A89" s="351" t="s">
        <v>1304</v>
      </c>
      <c r="B89" s="807">
        <v>3700</v>
      </c>
      <c r="C89" s="784">
        <v>3622</v>
      </c>
      <c r="D89" s="807">
        <v>8000</v>
      </c>
      <c r="E89" s="784">
        <v>7643</v>
      </c>
      <c r="F89" s="807">
        <v>29512</v>
      </c>
      <c r="G89" s="784">
        <v>29512</v>
      </c>
      <c r="H89" s="807">
        <v>29700</v>
      </c>
      <c r="I89" s="784">
        <v>29696</v>
      </c>
      <c r="J89" s="807"/>
      <c r="K89" s="794"/>
      <c r="L89" s="808">
        <f t="shared" si="24"/>
        <v>70912</v>
      </c>
      <c r="M89" s="794">
        <f t="shared" si="24"/>
        <v>70473</v>
      </c>
    </row>
    <row r="90" spans="1:13" ht="15">
      <c r="A90" s="1706" t="s">
        <v>559</v>
      </c>
      <c r="B90" s="1707"/>
      <c r="C90" s="1708"/>
      <c r="D90" s="1707">
        <v>88283</v>
      </c>
      <c r="E90" s="1708">
        <v>88283</v>
      </c>
      <c r="F90" s="1707"/>
      <c r="G90" s="1708"/>
      <c r="H90" s="1707"/>
      <c r="I90" s="1708"/>
      <c r="J90" s="1707"/>
      <c r="K90" s="1705"/>
      <c r="L90" s="1704">
        <f t="shared" si="24"/>
        <v>88283</v>
      </c>
      <c r="M90" s="1705">
        <f t="shared" si="24"/>
        <v>88283</v>
      </c>
    </row>
    <row r="91" spans="1:13" ht="15">
      <c r="A91" s="351" t="s">
        <v>1300</v>
      </c>
      <c r="B91" s="807">
        <v>520300</v>
      </c>
      <c r="C91" s="784">
        <v>519951.1</v>
      </c>
      <c r="D91" s="807">
        <v>220700</v>
      </c>
      <c r="E91" s="784">
        <v>219401.4</v>
      </c>
      <c r="F91" s="807">
        <v>191789</v>
      </c>
      <c r="G91" s="784">
        <v>191789</v>
      </c>
      <c r="H91" s="807">
        <v>10350</v>
      </c>
      <c r="I91" s="784">
        <v>10345</v>
      </c>
      <c r="J91" s="807">
        <v>36783.1</v>
      </c>
      <c r="K91" s="794">
        <v>36783.1</v>
      </c>
      <c r="L91" s="808">
        <f t="shared" si="24"/>
        <v>979922.1</v>
      </c>
      <c r="M91" s="794">
        <f t="shared" si="24"/>
        <v>978269.6</v>
      </c>
    </row>
    <row r="92" spans="1:13" ht="15">
      <c r="A92" s="830">
        <v>107</v>
      </c>
      <c r="B92" s="840">
        <f t="shared" ref="B92:K92" si="25">B93</f>
        <v>0</v>
      </c>
      <c r="C92" s="813">
        <f t="shared" si="25"/>
        <v>0</v>
      </c>
      <c r="D92" s="840">
        <f t="shared" si="25"/>
        <v>0</v>
      </c>
      <c r="E92" s="813">
        <f t="shared" si="25"/>
        <v>0</v>
      </c>
      <c r="F92" s="840">
        <f t="shared" si="25"/>
        <v>0</v>
      </c>
      <c r="G92" s="813">
        <f t="shared" si="25"/>
        <v>0</v>
      </c>
      <c r="H92" s="840">
        <f t="shared" si="25"/>
        <v>0</v>
      </c>
      <c r="I92" s="813">
        <f t="shared" si="25"/>
        <v>0</v>
      </c>
      <c r="J92" s="840">
        <f t="shared" si="25"/>
        <v>0</v>
      </c>
      <c r="K92" s="812">
        <f t="shared" si="25"/>
        <v>0</v>
      </c>
      <c r="L92" s="816">
        <f t="shared" ref="L92:M112" si="26">B92+D92+F92+H92+J92</f>
        <v>0</v>
      </c>
      <c r="M92" s="811">
        <f t="shared" si="26"/>
        <v>0</v>
      </c>
    </row>
    <row r="93" spans="1:13" ht="15">
      <c r="A93" s="351">
        <v>290</v>
      </c>
      <c r="B93" s="807"/>
      <c r="C93" s="784"/>
      <c r="D93" s="807"/>
      <c r="E93" s="784"/>
      <c r="F93" s="807"/>
      <c r="G93" s="784"/>
      <c r="H93" s="807"/>
      <c r="I93" s="784"/>
      <c r="J93" s="807"/>
      <c r="K93" s="794"/>
      <c r="L93" s="808">
        <f t="shared" si="26"/>
        <v>0</v>
      </c>
      <c r="M93" s="794">
        <f t="shared" si="26"/>
        <v>0</v>
      </c>
    </row>
    <row r="94" spans="1:13" ht="15">
      <c r="A94" s="831">
        <v>111</v>
      </c>
      <c r="B94" s="840">
        <f>B95</f>
        <v>50000</v>
      </c>
      <c r="C94" s="813">
        <f t="shared" ref="C94:K94" si="27">C95</f>
        <v>50000</v>
      </c>
      <c r="D94" s="840">
        <f t="shared" si="27"/>
        <v>0</v>
      </c>
      <c r="E94" s="813">
        <f>E95</f>
        <v>0</v>
      </c>
      <c r="F94" s="840">
        <f t="shared" si="27"/>
        <v>0</v>
      </c>
      <c r="G94" s="813">
        <f t="shared" si="27"/>
        <v>0</v>
      </c>
      <c r="H94" s="840">
        <f t="shared" si="27"/>
        <v>0</v>
      </c>
      <c r="I94" s="813">
        <f t="shared" si="27"/>
        <v>0</v>
      </c>
      <c r="J94" s="840">
        <f t="shared" si="27"/>
        <v>0</v>
      </c>
      <c r="K94" s="812">
        <f t="shared" si="27"/>
        <v>0</v>
      </c>
      <c r="L94" s="816">
        <f t="shared" si="26"/>
        <v>50000</v>
      </c>
      <c r="M94" s="811">
        <f t="shared" si="26"/>
        <v>50000</v>
      </c>
    </row>
    <row r="95" spans="1:13" ht="15">
      <c r="A95" s="351" t="s">
        <v>1421</v>
      </c>
      <c r="B95" s="807">
        <v>50000</v>
      </c>
      <c r="C95" s="784">
        <v>50000</v>
      </c>
      <c r="D95" s="807"/>
      <c r="E95" s="784"/>
      <c r="F95" s="807"/>
      <c r="G95" s="784"/>
      <c r="H95" s="807"/>
      <c r="I95" s="784"/>
      <c r="J95" s="807"/>
      <c r="K95" s="794"/>
      <c r="L95" s="808">
        <f t="shared" si="26"/>
        <v>50000</v>
      </c>
      <c r="M95" s="794">
        <f t="shared" si="26"/>
        <v>50000</v>
      </c>
    </row>
    <row r="96" spans="1:13" ht="15">
      <c r="A96" s="832" t="s">
        <v>361</v>
      </c>
      <c r="B96" s="810">
        <f t="shared" ref="B96:J96" si="28">B97</f>
        <v>700</v>
      </c>
      <c r="C96" s="1699">
        <f t="shared" si="28"/>
        <v>700</v>
      </c>
      <c r="D96" s="810">
        <f t="shared" si="28"/>
        <v>700</v>
      </c>
      <c r="E96" s="1699">
        <f t="shared" si="28"/>
        <v>0</v>
      </c>
      <c r="F96" s="810">
        <f t="shared" si="28"/>
        <v>700</v>
      </c>
      <c r="G96" s="1699">
        <f t="shared" si="28"/>
        <v>700</v>
      </c>
      <c r="H96" s="810">
        <f t="shared" si="28"/>
        <v>700</v>
      </c>
      <c r="I96" s="1699">
        <f t="shared" si="28"/>
        <v>700</v>
      </c>
      <c r="J96" s="810">
        <f t="shared" si="28"/>
        <v>700</v>
      </c>
      <c r="K96" s="1699"/>
      <c r="L96" s="816">
        <f t="shared" si="26"/>
        <v>3500</v>
      </c>
      <c r="M96" s="811">
        <f t="shared" si="26"/>
        <v>2100</v>
      </c>
    </row>
    <row r="97" spans="1:13" ht="15">
      <c r="A97" s="351" t="s">
        <v>586</v>
      </c>
      <c r="B97" s="807">
        <v>700</v>
      </c>
      <c r="C97" s="1094">
        <v>700</v>
      </c>
      <c r="D97" s="807">
        <v>700</v>
      </c>
      <c r="E97" s="1094"/>
      <c r="F97" s="807">
        <v>700</v>
      </c>
      <c r="G97" s="1094">
        <v>700</v>
      </c>
      <c r="H97" s="807">
        <v>700</v>
      </c>
      <c r="I97" s="1094">
        <v>700</v>
      </c>
      <c r="J97" s="807">
        <v>700</v>
      </c>
      <c r="K97" s="1094"/>
      <c r="L97" s="808">
        <f t="shared" si="26"/>
        <v>3500</v>
      </c>
      <c r="M97" s="794">
        <f t="shared" si="26"/>
        <v>2100</v>
      </c>
    </row>
    <row r="98" spans="1:13" ht="15">
      <c r="A98" s="831">
        <v>203</v>
      </c>
      <c r="B98" s="840">
        <f>SUM(B99:B106)</f>
        <v>476900</v>
      </c>
      <c r="C98" s="840">
        <f t="shared" ref="C98:K98" si="29">SUM(C99:C106)</f>
        <v>266398.56</v>
      </c>
      <c r="D98" s="840">
        <f t="shared" si="29"/>
        <v>102800</v>
      </c>
      <c r="E98" s="840">
        <f t="shared" si="29"/>
        <v>102800</v>
      </c>
      <c r="F98" s="840">
        <f t="shared" si="29"/>
        <v>91400</v>
      </c>
      <c r="G98" s="840">
        <f t="shared" si="29"/>
        <v>91400</v>
      </c>
      <c r="H98" s="840">
        <f t="shared" si="29"/>
        <v>89100</v>
      </c>
      <c r="I98" s="840">
        <f t="shared" si="29"/>
        <v>89100</v>
      </c>
      <c r="J98" s="840">
        <f t="shared" si="29"/>
        <v>89700</v>
      </c>
      <c r="K98" s="840">
        <f t="shared" si="29"/>
        <v>89700</v>
      </c>
      <c r="L98" s="816">
        <f t="shared" si="26"/>
        <v>849900</v>
      </c>
      <c r="M98" s="811">
        <f t="shared" si="26"/>
        <v>639398.56000000006</v>
      </c>
    </row>
    <row r="99" spans="1:13" ht="15">
      <c r="A99" s="351" t="s">
        <v>525</v>
      </c>
      <c r="B99" s="807">
        <v>314400</v>
      </c>
      <c r="C99" s="784">
        <v>165495.63</v>
      </c>
      <c r="D99" s="807">
        <v>72800</v>
      </c>
      <c r="E99" s="784">
        <v>72800</v>
      </c>
      <c r="F99" s="807">
        <v>66440</v>
      </c>
      <c r="G99" s="784">
        <v>66440</v>
      </c>
      <c r="H99" s="838">
        <v>65200</v>
      </c>
      <c r="I99" s="784">
        <v>65200</v>
      </c>
      <c r="J99" s="807">
        <v>55400</v>
      </c>
      <c r="K99" s="794">
        <v>55400</v>
      </c>
      <c r="L99" s="808">
        <f t="shared" si="26"/>
        <v>574240</v>
      </c>
      <c r="M99" s="794">
        <f t="shared" si="26"/>
        <v>425335.63</v>
      </c>
    </row>
    <row r="100" spans="1:13" ht="15">
      <c r="A100" s="351" t="s">
        <v>527</v>
      </c>
      <c r="B100" s="807">
        <v>136100</v>
      </c>
      <c r="C100" s="784">
        <v>94402.93</v>
      </c>
      <c r="D100" s="807">
        <v>26000</v>
      </c>
      <c r="E100" s="784">
        <v>26000</v>
      </c>
      <c r="F100" s="807">
        <v>20060</v>
      </c>
      <c r="G100" s="784">
        <v>20060</v>
      </c>
      <c r="H100" s="838">
        <v>23900</v>
      </c>
      <c r="I100" s="784">
        <v>23900</v>
      </c>
      <c r="J100" s="807">
        <v>34300</v>
      </c>
      <c r="K100" s="794">
        <v>34300</v>
      </c>
      <c r="L100" s="808">
        <f t="shared" si="26"/>
        <v>240360</v>
      </c>
      <c r="M100" s="794">
        <f t="shared" si="26"/>
        <v>198662.93</v>
      </c>
    </row>
    <row r="101" spans="1:13" ht="15">
      <c r="A101" s="351" t="s">
        <v>528</v>
      </c>
      <c r="B101" s="807">
        <v>6900</v>
      </c>
      <c r="C101" s="784"/>
      <c r="D101" s="807">
        <v>3000</v>
      </c>
      <c r="E101" s="784">
        <v>3000</v>
      </c>
      <c r="F101" s="807">
        <v>3000</v>
      </c>
      <c r="G101" s="784">
        <v>3000</v>
      </c>
      <c r="H101" s="807"/>
      <c r="I101" s="784"/>
      <c r="J101" s="807"/>
      <c r="K101" s="794"/>
      <c r="L101" s="808">
        <f t="shared" si="26"/>
        <v>12900</v>
      </c>
      <c r="M101" s="794">
        <f t="shared" si="26"/>
        <v>6000</v>
      </c>
    </row>
    <row r="102" spans="1:13" ht="15">
      <c r="A102" s="351" t="s">
        <v>588</v>
      </c>
      <c r="B102" s="807">
        <v>6000</v>
      </c>
      <c r="C102" s="784"/>
      <c r="D102" s="807"/>
      <c r="E102" s="784"/>
      <c r="F102" s="807"/>
      <c r="G102" s="784"/>
      <c r="H102" s="807"/>
      <c r="I102" s="784"/>
      <c r="J102" s="807"/>
      <c r="K102" s="794"/>
      <c r="L102" s="808"/>
      <c r="M102" s="794"/>
    </row>
    <row r="103" spans="1:13" ht="15">
      <c r="A103" s="351" t="s">
        <v>587</v>
      </c>
      <c r="B103" s="807">
        <v>4000</v>
      </c>
      <c r="C103" s="784">
        <v>4000</v>
      </c>
      <c r="D103" s="807"/>
      <c r="E103" s="784"/>
      <c r="F103" s="807"/>
      <c r="G103" s="784"/>
      <c r="H103" s="807"/>
      <c r="I103" s="784"/>
      <c r="J103" s="807"/>
      <c r="K103" s="794"/>
      <c r="L103" s="808">
        <f t="shared" si="26"/>
        <v>4000</v>
      </c>
      <c r="M103" s="794">
        <f t="shared" si="26"/>
        <v>4000</v>
      </c>
    </row>
    <row r="104" spans="1:13" ht="15">
      <c r="A104" s="351" t="s">
        <v>589</v>
      </c>
      <c r="B104" s="807">
        <v>7000</v>
      </c>
      <c r="C104" s="784"/>
      <c r="D104" s="807"/>
      <c r="E104" s="784"/>
      <c r="F104" s="807"/>
      <c r="G104" s="784"/>
      <c r="H104" s="807"/>
      <c r="I104" s="784"/>
      <c r="J104" s="807"/>
      <c r="K104" s="794"/>
      <c r="L104" s="808">
        <f t="shared" si="26"/>
        <v>7000</v>
      </c>
      <c r="M104" s="794"/>
    </row>
    <row r="105" spans="1:13" ht="15">
      <c r="A105" s="351" t="s">
        <v>535</v>
      </c>
      <c r="B105" s="807"/>
      <c r="C105" s="784"/>
      <c r="D105" s="807"/>
      <c r="E105" s="784"/>
      <c r="F105" s="807"/>
      <c r="G105" s="784"/>
      <c r="H105" s="807"/>
      <c r="I105" s="784"/>
      <c r="J105" s="807"/>
      <c r="K105" s="794"/>
      <c r="L105" s="808">
        <f t="shared" si="26"/>
        <v>0</v>
      </c>
      <c r="M105" s="794">
        <f t="shared" si="26"/>
        <v>0</v>
      </c>
    </row>
    <row r="106" spans="1:13" ht="15">
      <c r="A106" s="351" t="s">
        <v>536</v>
      </c>
      <c r="B106" s="807">
        <v>2500</v>
      </c>
      <c r="C106" s="784">
        <v>2500</v>
      </c>
      <c r="D106" s="807">
        <v>1000</v>
      </c>
      <c r="E106" s="784">
        <v>1000</v>
      </c>
      <c r="F106" s="807">
        <v>1900</v>
      </c>
      <c r="G106" s="784">
        <v>1900</v>
      </c>
      <c r="H106" s="807"/>
      <c r="I106" s="784"/>
      <c r="J106" s="807"/>
      <c r="K106" s="794"/>
      <c r="L106" s="808">
        <f t="shared" si="26"/>
        <v>5400</v>
      </c>
      <c r="M106" s="794">
        <f t="shared" si="26"/>
        <v>5400</v>
      </c>
    </row>
    <row r="107" spans="1:13" ht="15">
      <c r="A107" s="831">
        <v>309</v>
      </c>
      <c r="B107" s="840">
        <f>SUM(B109:B112)</f>
        <v>209400</v>
      </c>
      <c r="C107" s="840">
        <f t="shared" ref="C107:K107" si="30">SUM(C109:C112)</f>
        <v>209224.46</v>
      </c>
      <c r="D107" s="840">
        <f t="shared" si="30"/>
        <v>0</v>
      </c>
      <c r="E107" s="840">
        <f t="shared" si="30"/>
        <v>0</v>
      </c>
      <c r="F107" s="840">
        <f>SUM(F108:F112)</f>
        <v>0</v>
      </c>
      <c r="G107" s="840">
        <f>SUM(G108:G112)</f>
        <v>0</v>
      </c>
      <c r="H107" s="840">
        <f>SUM(H108:H112)</f>
        <v>110500</v>
      </c>
      <c r="I107" s="840">
        <f>SUM(I108:I112)</f>
        <v>110500</v>
      </c>
      <c r="J107" s="840">
        <f t="shared" si="30"/>
        <v>23675.59</v>
      </c>
      <c r="K107" s="840">
        <f t="shared" si="30"/>
        <v>23675.59</v>
      </c>
      <c r="L107" s="816">
        <f t="shared" si="26"/>
        <v>343575.59</v>
      </c>
      <c r="M107" s="811">
        <f t="shared" si="26"/>
        <v>343400.05</v>
      </c>
    </row>
    <row r="108" spans="1:13" ht="15">
      <c r="A108" s="351" t="s">
        <v>537</v>
      </c>
      <c r="B108" s="882"/>
      <c r="C108" s="1701"/>
      <c r="D108" s="882"/>
      <c r="E108" s="1701"/>
      <c r="F108" s="882"/>
      <c r="G108" s="1701"/>
      <c r="H108" s="882">
        <v>27000</v>
      </c>
      <c r="I108" s="1701">
        <v>27000</v>
      </c>
      <c r="J108" s="882"/>
      <c r="K108" s="1701"/>
      <c r="L108" s="795"/>
      <c r="M108" s="814"/>
    </row>
    <row r="109" spans="1:13" ht="15">
      <c r="A109" s="351" t="s">
        <v>1929</v>
      </c>
      <c r="B109" s="807">
        <v>57000</v>
      </c>
      <c r="C109" s="784">
        <v>56824.46</v>
      </c>
      <c r="D109" s="807"/>
      <c r="E109" s="784"/>
      <c r="F109" s="807"/>
      <c r="G109" s="784"/>
      <c r="H109" s="807"/>
      <c r="I109" s="784"/>
      <c r="J109" s="807">
        <v>11973.19</v>
      </c>
      <c r="K109" s="794">
        <v>11973.19</v>
      </c>
      <c r="L109" s="808">
        <f t="shared" si="26"/>
        <v>68973.19</v>
      </c>
      <c r="M109" s="794">
        <f t="shared" si="26"/>
        <v>68797.649999999994</v>
      </c>
    </row>
    <row r="110" spans="1:13" ht="15">
      <c r="A110" s="351" t="s">
        <v>1931</v>
      </c>
      <c r="B110" s="807">
        <v>63500</v>
      </c>
      <c r="C110" s="784">
        <v>63500</v>
      </c>
      <c r="D110" s="807"/>
      <c r="E110" s="784"/>
      <c r="F110" s="807"/>
      <c r="G110" s="784"/>
      <c r="H110" s="807">
        <v>83500</v>
      </c>
      <c r="I110" s="784">
        <v>83500</v>
      </c>
      <c r="J110" s="807"/>
      <c r="K110" s="794"/>
      <c r="L110" s="808">
        <f t="shared" ref="L110:M189" si="31">B110+D110+F110+H110+J110</f>
        <v>147000</v>
      </c>
      <c r="M110" s="794">
        <f t="shared" si="26"/>
        <v>147000</v>
      </c>
    </row>
    <row r="111" spans="1:13" ht="15">
      <c r="A111" s="351" t="s">
        <v>1930</v>
      </c>
      <c r="B111" s="807"/>
      <c r="C111" s="784"/>
      <c r="D111" s="807"/>
      <c r="E111" s="784"/>
      <c r="F111" s="807"/>
      <c r="G111" s="784"/>
      <c r="H111" s="807"/>
      <c r="I111" s="784"/>
      <c r="J111" s="807">
        <v>11702.4</v>
      </c>
      <c r="K111" s="794">
        <v>11702.4</v>
      </c>
      <c r="L111" s="808">
        <f t="shared" si="31"/>
        <v>11702.4</v>
      </c>
      <c r="M111" s="794">
        <f t="shared" si="31"/>
        <v>11702.4</v>
      </c>
    </row>
    <row r="112" spans="1:13" ht="15">
      <c r="A112" s="1706" t="s">
        <v>590</v>
      </c>
      <c r="B112" s="1707">
        <v>88900</v>
      </c>
      <c r="C112" s="1708">
        <v>88900</v>
      </c>
      <c r="D112" s="1707"/>
      <c r="E112" s="1708"/>
      <c r="F112" s="1707"/>
      <c r="G112" s="1708"/>
      <c r="H112" s="1707"/>
      <c r="I112" s="1708"/>
      <c r="J112" s="1707"/>
      <c r="K112" s="1705"/>
      <c r="L112" s="1704">
        <f t="shared" si="31"/>
        <v>88900</v>
      </c>
      <c r="M112" s="1705">
        <f t="shared" si="26"/>
        <v>88900</v>
      </c>
    </row>
    <row r="113" spans="1:13" ht="15">
      <c r="A113" s="832">
        <v>310</v>
      </c>
      <c r="B113" s="810">
        <f>SUM(B114:B117)</f>
        <v>0</v>
      </c>
      <c r="C113" s="810">
        <f t="shared" ref="C113:K113" si="32">SUM(C114:C117)</f>
        <v>0</v>
      </c>
      <c r="D113" s="810">
        <f t="shared" si="32"/>
        <v>37600</v>
      </c>
      <c r="E113" s="810">
        <f t="shared" si="32"/>
        <v>37513.31</v>
      </c>
      <c r="F113" s="810">
        <f t="shared" si="32"/>
        <v>10000</v>
      </c>
      <c r="G113" s="810">
        <f t="shared" si="32"/>
        <v>10000</v>
      </c>
      <c r="H113" s="810">
        <f t="shared" si="32"/>
        <v>0</v>
      </c>
      <c r="I113" s="810">
        <f t="shared" si="32"/>
        <v>0</v>
      </c>
      <c r="J113" s="810">
        <f t="shared" si="32"/>
        <v>0</v>
      </c>
      <c r="K113" s="810">
        <f t="shared" si="32"/>
        <v>0</v>
      </c>
      <c r="L113" s="816">
        <f t="shared" si="31"/>
        <v>47600</v>
      </c>
      <c r="M113" s="811">
        <f t="shared" si="31"/>
        <v>47513.31</v>
      </c>
    </row>
    <row r="114" spans="1:13" ht="15">
      <c r="A114" s="833" t="s">
        <v>1965</v>
      </c>
      <c r="B114" s="838"/>
      <c r="C114" s="800"/>
      <c r="D114" s="838"/>
      <c r="E114" s="800"/>
      <c r="F114" s="882"/>
      <c r="G114" s="800"/>
      <c r="H114" s="838"/>
      <c r="I114" s="800"/>
      <c r="J114" s="838"/>
      <c r="K114" s="814"/>
      <c r="L114" s="808">
        <f t="shared" si="31"/>
        <v>0</v>
      </c>
      <c r="M114" s="794">
        <f t="shared" si="31"/>
        <v>0</v>
      </c>
    </row>
    <row r="115" spans="1:13" ht="15">
      <c r="A115" s="833" t="s">
        <v>539</v>
      </c>
      <c r="B115" s="838"/>
      <c r="C115" s="800"/>
      <c r="D115" s="838">
        <v>37600</v>
      </c>
      <c r="E115" s="800">
        <v>37513.31</v>
      </c>
      <c r="F115" s="882">
        <v>10000</v>
      </c>
      <c r="G115" s="800">
        <v>10000</v>
      </c>
      <c r="H115" s="838"/>
      <c r="I115" s="800"/>
      <c r="J115" s="838"/>
      <c r="K115" s="814"/>
      <c r="L115" s="808">
        <f t="shared" si="31"/>
        <v>47600</v>
      </c>
      <c r="M115" s="794">
        <f t="shared" si="31"/>
        <v>47513.31</v>
      </c>
    </row>
    <row r="116" spans="1:13" ht="15">
      <c r="A116" s="351" t="s">
        <v>1966</v>
      </c>
      <c r="B116" s="815"/>
      <c r="C116" s="790"/>
      <c r="D116" s="815"/>
      <c r="E116" s="790"/>
      <c r="F116" s="815"/>
      <c r="G116" s="790"/>
      <c r="H116" s="815"/>
      <c r="I116" s="790"/>
      <c r="J116" s="815"/>
      <c r="K116" s="791"/>
      <c r="L116" s="799">
        <f t="shared" si="31"/>
        <v>0</v>
      </c>
      <c r="M116" s="791">
        <f t="shared" si="31"/>
        <v>0</v>
      </c>
    </row>
    <row r="117" spans="1:13" ht="15">
      <c r="A117" s="351" t="s">
        <v>920</v>
      </c>
      <c r="B117" s="815"/>
      <c r="C117" s="790"/>
      <c r="D117" s="815"/>
      <c r="E117" s="790"/>
      <c r="F117" s="815"/>
      <c r="G117" s="790"/>
      <c r="H117" s="815"/>
      <c r="I117" s="790"/>
      <c r="J117" s="815"/>
      <c r="K117" s="791"/>
      <c r="L117" s="799">
        <f t="shared" si="31"/>
        <v>0</v>
      </c>
      <c r="M117" s="791">
        <f t="shared" si="31"/>
        <v>0</v>
      </c>
    </row>
    <row r="118" spans="1:13" ht="15">
      <c r="A118" s="832">
        <v>401</v>
      </c>
      <c r="B118" s="810">
        <f>SUM(B119:B121)</f>
        <v>0</v>
      </c>
      <c r="C118" s="810">
        <f t="shared" ref="C118:K118" si="33">SUM(C119:C121)</f>
        <v>0</v>
      </c>
      <c r="D118" s="810">
        <f t="shared" si="33"/>
        <v>0</v>
      </c>
      <c r="E118" s="810">
        <f t="shared" si="33"/>
        <v>0</v>
      </c>
      <c r="F118" s="810">
        <f t="shared" si="33"/>
        <v>0</v>
      </c>
      <c r="G118" s="810">
        <f t="shared" si="33"/>
        <v>0</v>
      </c>
      <c r="H118" s="810">
        <f t="shared" si="33"/>
        <v>0</v>
      </c>
      <c r="I118" s="810">
        <f t="shared" si="33"/>
        <v>0</v>
      </c>
      <c r="J118" s="810">
        <f t="shared" si="33"/>
        <v>0</v>
      </c>
      <c r="K118" s="810">
        <f t="shared" si="33"/>
        <v>0</v>
      </c>
      <c r="L118" s="816">
        <f t="shared" si="31"/>
        <v>0</v>
      </c>
      <c r="M118" s="811">
        <f t="shared" si="31"/>
        <v>0</v>
      </c>
    </row>
    <row r="119" spans="1:13" ht="15">
      <c r="A119" s="351" t="s">
        <v>921</v>
      </c>
      <c r="B119" s="807"/>
      <c r="C119" s="784"/>
      <c r="D119" s="807"/>
      <c r="E119" s="784"/>
      <c r="F119" s="807"/>
      <c r="G119" s="784"/>
      <c r="H119" s="807"/>
      <c r="I119" s="784"/>
      <c r="J119" s="807"/>
      <c r="K119" s="794"/>
      <c r="L119" s="808">
        <f t="shared" si="31"/>
        <v>0</v>
      </c>
      <c r="M119" s="794">
        <f t="shared" si="31"/>
        <v>0</v>
      </c>
    </row>
    <row r="120" spans="1:13" ht="15">
      <c r="A120" s="351" t="s">
        <v>922</v>
      </c>
      <c r="B120" s="807"/>
      <c r="C120" s="784"/>
      <c r="D120" s="807"/>
      <c r="E120" s="784"/>
      <c r="F120" s="807"/>
      <c r="G120" s="784"/>
      <c r="H120" s="807"/>
      <c r="I120" s="784"/>
      <c r="J120" s="807"/>
      <c r="K120" s="794"/>
      <c r="L120" s="808">
        <f t="shared" si="31"/>
        <v>0</v>
      </c>
      <c r="M120" s="794">
        <f t="shared" si="31"/>
        <v>0</v>
      </c>
    </row>
    <row r="121" spans="1:13" ht="15">
      <c r="A121" s="351" t="s">
        <v>923</v>
      </c>
      <c r="B121" s="807"/>
      <c r="C121" s="784"/>
      <c r="D121" s="807"/>
      <c r="E121" s="823"/>
      <c r="F121" s="807"/>
      <c r="G121" s="784"/>
      <c r="H121" s="807"/>
      <c r="I121" s="784"/>
      <c r="J121" s="807"/>
      <c r="K121" s="794"/>
      <c r="L121" s="808">
        <f t="shared" si="31"/>
        <v>0</v>
      </c>
      <c r="M121" s="794">
        <f t="shared" si="31"/>
        <v>0</v>
      </c>
    </row>
    <row r="122" spans="1:13" ht="15">
      <c r="A122" s="832">
        <v>409</v>
      </c>
      <c r="B122" s="810">
        <f>B123+B124+B129+B130+B131</f>
        <v>1122100</v>
      </c>
      <c r="C122" s="810">
        <f t="shared" ref="C122:K122" si="34">C123+C124+C129+C130+C131</f>
        <v>571838.54</v>
      </c>
      <c r="D122" s="810">
        <f t="shared" si="34"/>
        <v>410400</v>
      </c>
      <c r="E122" s="810">
        <f t="shared" si="34"/>
        <v>0</v>
      </c>
      <c r="F122" s="810">
        <f t="shared" si="34"/>
        <v>88900</v>
      </c>
      <c r="G122" s="810">
        <f t="shared" si="34"/>
        <v>0</v>
      </c>
      <c r="H122" s="810">
        <f t="shared" si="34"/>
        <v>88900</v>
      </c>
      <c r="I122" s="810">
        <f t="shared" si="34"/>
        <v>0</v>
      </c>
      <c r="J122" s="810">
        <f t="shared" si="34"/>
        <v>88900</v>
      </c>
      <c r="K122" s="810">
        <f t="shared" si="34"/>
        <v>0</v>
      </c>
      <c r="L122" s="816">
        <f t="shared" si="31"/>
        <v>1799200</v>
      </c>
      <c r="M122" s="811">
        <f t="shared" si="31"/>
        <v>571838.54</v>
      </c>
    </row>
    <row r="123" spans="1:13" ht="15">
      <c r="A123" s="351" t="s">
        <v>1970</v>
      </c>
      <c r="B123" s="807">
        <v>516000</v>
      </c>
      <c r="C123" s="784">
        <v>516000</v>
      </c>
      <c r="D123" s="807"/>
      <c r="E123" s="823"/>
      <c r="F123" s="807"/>
      <c r="G123" s="784"/>
      <c r="H123" s="807"/>
      <c r="I123" s="784"/>
      <c r="J123" s="807"/>
      <c r="K123" s="794"/>
      <c r="L123" s="808">
        <f t="shared" si="31"/>
        <v>516000</v>
      </c>
      <c r="M123" s="794">
        <f t="shared" si="31"/>
        <v>516000</v>
      </c>
    </row>
    <row r="124" spans="1:13" ht="15">
      <c r="A124" s="351" t="s">
        <v>544</v>
      </c>
      <c r="B124" s="807"/>
      <c r="C124" s="784"/>
      <c r="D124" s="807">
        <v>410400</v>
      </c>
      <c r="E124" s="823"/>
      <c r="F124" s="807">
        <v>88900</v>
      </c>
      <c r="G124" s="784"/>
      <c r="H124" s="807">
        <v>88900</v>
      </c>
      <c r="I124" s="784"/>
      <c r="J124" s="807">
        <v>88900</v>
      </c>
      <c r="K124" s="794"/>
      <c r="L124" s="808">
        <f t="shared" si="31"/>
        <v>677100</v>
      </c>
      <c r="M124" s="794">
        <f t="shared" si="31"/>
        <v>0</v>
      </c>
    </row>
    <row r="125" spans="1:13" ht="15">
      <c r="A125" s="911"/>
      <c r="B125" s="912"/>
      <c r="C125" s="912"/>
      <c r="D125" s="912"/>
      <c r="E125" s="913"/>
      <c r="F125" s="912"/>
      <c r="G125" s="912"/>
      <c r="H125" s="912"/>
      <c r="I125" s="912"/>
      <c r="J125" s="912"/>
      <c r="K125" s="912"/>
      <c r="L125" s="912"/>
      <c r="M125" s="912"/>
    </row>
    <row r="126" spans="1:13" ht="15">
      <c r="A126" s="911"/>
      <c r="B126" s="912"/>
      <c r="C126" s="912"/>
      <c r="D126" s="912"/>
      <c r="E126" s="913"/>
      <c r="F126" s="912"/>
      <c r="G126" s="912"/>
      <c r="H126" s="912"/>
      <c r="I126" s="912"/>
      <c r="J126" s="912"/>
      <c r="K126" s="912"/>
      <c r="L126" s="912"/>
      <c r="M126" s="912"/>
    </row>
    <row r="127" spans="1:13" ht="15">
      <c r="A127" s="352"/>
      <c r="B127" s="2645" t="s">
        <v>1280</v>
      </c>
      <c r="C127" s="2650"/>
      <c r="D127" s="2645" t="s">
        <v>1281</v>
      </c>
      <c r="E127" s="2650"/>
      <c r="F127" s="2645" t="s">
        <v>1282</v>
      </c>
      <c r="G127" s="2650"/>
      <c r="H127" s="2645" t="s">
        <v>1283</v>
      </c>
      <c r="I127" s="2650"/>
      <c r="J127" s="2645" t="s">
        <v>1284</v>
      </c>
      <c r="K127" s="2646"/>
      <c r="L127" s="822" t="s">
        <v>36</v>
      </c>
      <c r="M127" s="785" t="s">
        <v>844</v>
      </c>
    </row>
    <row r="128" spans="1:13" ht="15">
      <c r="A128" s="352"/>
      <c r="B128" s="787" t="s">
        <v>1450</v>
      </c>
      <c r="C128" s="877" t="s">
        <v>1451</v>
      </c>
      <c r="D128" s="787" t="s">
        <v>1450</v>
      </c>
      <c r="E128" s="877" t="s">
        <v>1451</v>
      </c>
      <c r="F128" s="787" t="s">
        <v>1450</v>
      </c>
      <c r="G128" s="877" t="s">
        <v>1451</v>
      </c>
      <c r="H128" s="787" t="s">
        <v>1450</v>
      </c>
      <c r="I128" s="877" t="s">
        <v>1451</v>
      </c>
      <c r="J128" s="787" t="s">
        <v>1450</v>
      </c>
      <c r="K128" s="786" t="s">
        <v>1451</v>
      </c>
      <c r="L128" s="837" t="s">
        <v>1450</v>
      </c>
      <c r="M128" s="786" t="s">
        <v>1451</v>
      </c>
    </row>
    <row r="129" spans="1:13" ht="15">
      <c r="A129" s="776" t="s">
        <v>924</v>
      </c>
      <c r="B129" s="787"/>
      <c r="C129" s="877"/>
      <c r="D129" s="787"/>
      <c r="E129" s="877"/>
      <c r="F129" s="787"/>
      <c r="G129" s="877"/>
      <c r="H129" s="787"/>
      <c r="I129" s="877"/>
      <c r="J129" s="787"/>
      <c r="K129" s="786"/>
      <c r="L129" s="808">
        <f t="shared" si="31"/>
        <v>0</v>
      </c>
      <c r="M129" s="794">
        <f t="shared" si="31"/>
        <v>0</v>
      </c>
    </row>
    <row r="130" spans="1:13" ht="15">
      <c r="A130" s="776" t="s">
        <v>1972</v>
      </c>
      <c r="B130" s="787" t="s">
        <v>592</v>
      </c>
      <c r="C130" s="877" t="s">
        <v>591</v>
      </c>
      <c r="D130" s="787"/>
      <c r="E130" s="877"/>
      <c r="F130" s="787"/>
      <c r="G130" s="877"/>
      <c r="H130" s="787"/>
      <c r="I130" s="877"/>
      <c r="J130" s="787"/>
      <c r="K130" s="786"/>
      <c r="L130" s="808">
        <f t="shared" si="31"/>
        <v>606100</v>
      </c>
      <c r="M130" s="794">
        <f t="shared" si="31"/>
        <v>55838.54</v>
      </c>
    </row>
    <row r="131" spans="1:13" ht="15">
      <c r="A131" s="776" t="s">
        <v>1974</v>
      </c>
      <c r="B131" s="787"/>
      <c r="C131" s="877"/>
      <c r="D131" s="787"/>
      <c r="E131" s="877"/>
      <c r="F131" s="787"/>
      <c r="G131" s="877"/>
      <c r="H131" s="787"/>
      <c r="I131" s="877"/>
      <c r="J131" s="787"/>
      <c r="K131" s="786"/>
      <c r="L131" s="808">
        <f t="shared" si="31"/>
        <v>0</v>
      </c>
      <c r="M131" s="794">
        <f t="shared" si="31"/>
        <v>0</v>
      </c>
    </row>
    <row r="132" spans="1:13" ht="15">
      <c r="A132" s="831">
        <v>412</v>
      </c>
      <c r="B132" s="840">
        <f>SUM(B133:B134)</f>
        <v>0</v>
      </c>
      <c r="C132" s="840">
        <f t="shared" ref="C132:K132" si="35">SUM(C133:C134)</f>
        <v>0</v>
      </c>
      <c r="D132" s="840">
        <f t="shared" si="35"/>
        <v>60000</v>
      </c>
      <c r="E132" s="840">
        <f t="shared" si="35"/>
        <v>59882.75</v>
      </c>
      <c r="F132" s="840">
        <f t="shared" si="35"/>
        <v>59882.75</v>
      </c>
      <c r="G132" s="840">
        <f t="shared" si="35"/>
        <v>59882.75</v>
      </c>
      <c r="H132" s="840">
        <f t="shared" si="35"/>
        <v>29950</v>
      </c>
      <c r="I132" s="840">
        <f t="shared" si="35"/>
        <v>29941.38</v>
      </c>
      <c r="J132" s="840">
        <f t="shared" si="35"/>
        <v>0</v>
      </c>
      <c r="K132" s="840">
        <f t="shared" si="35"/>
        <v>0</v>
      </c>
      <c r="L132" s="816">
        <f t="shared" si="31"/>
        <v>149832.75</v>
      </c>
      <c r="M132" s="811">
        <f t="shared" si="31"/>
        <v>149706.88</v>
      </c>
    </row>
    <row r="133" spans="1:13" ht="15">
      <c r="A133" s="351" t="s">
        <v>2021</v>
      </c>
      <c r="B133" s="807"/>
      <c r="C133" s="784"/>
      <c r="D133" s="807">
        <v>60000</v>
      </c>
      <c r="E133" s="784">
        <v>59882.75</v>
      </c>
      <c r="F133" s="807">
        <v>59882.75</v>
      </c>
      <c r="G133" s="784">
        <v>59882.75</v>
      </c>
      <c r="H133" s="807">
        <v>29950</v>
      </c>
      <c r="I133" s="784">
        <v>29941.38</v>
      </c>
      <c r="J133" s="807"/>
      <c r="K133" s="794"/>
      <c r="L133" s="808">
        <f t="shared" si="31"/>
        <v>149832.75</v>
      </c>
      <c r="M133" s="794">
        <f t="shared" si="31"/>
        <v>149706.88</v>
      </c>
    </row>
    <row r="134" spans="1:13" ht="15">
      <c r="A134" s="351" t="s">
        <v>903</v>
      </c>
      <c r="B134" s="807"/>
      <c r="C134" s="784"/>
      <c r="D134" s="807"/>
      <c r="E134" s="784"/>
      <c r="F134" s="807"/>
      <c r="G134" s="784"/>
      <c r="H134" s="1094"/>
      <c r="I134" s="784"/>
      <c r="J134" s="807"/>
      <c r="K134" s="794"/>
      <c r="L134" s="808">
        <f t="shared" si="31"/>
        <v>0</v>
      </c>
      <c r="M134" s="794">
        <f t="shared" si="31"/>
        <v>0</v>
      </c>
    </row>
    <row r="135" spans="1:13" ht="15">
      <c r="A135" s="832">
        <v>501</v>
      </c>
      <c r="B135" s="810">
        <f>SUM(B136:B148)</f>
        <v>2524000</v>
      </c>
      <c r="C135" s="810">
        <f t="shared" ref="C135:K135" si="36">SUM(C136:C148)</f>
        <v>2523267.1</v>
      </c>
      <c r="D135" s="810">
        <f>SUM(D136:D149)</f>
        <v>0</v>
      </c>
      <c r="E135" s="810">
        <f>SUM(E136:E149)</f>
        <v>0</v>
      </c>
      <c r="F135" s="810">
        <f t="shared" si="36"/>
        <v>469373.5</v>
      </c>
      <c r="G135" s="810">
        <f t="shared" si="36"/>
        <v>463932.5</v>
      </c>
      <c r="H135" s="810">
        <f t="shared" si="36"/>
        <v>58790</v>
      </c>
      <c r="I135" s="810">
        <f t="shared" si="36"/>
        <v>58771.040000000001</v>
      </c>
      <c r="J135" s="810">
        <f t="shared" si="36"/>
        <v>0</v>
      </c>
      <c r="K135" s="810">
        <f t="shared" si="36"/>
        <v>0</v>
      </c>
      <c r="L135" s="816">
        <f t="shared" si="31"/>
        <v>3052163.5</v>
      </c>
      <c r="M135" s="811">
        <f t="shared" si="31"/>
        <v>3045970.64</v>
      </c>
    </row>
    <row r="136" spans="1:13" ht="15">
      <c r="A136" s="833" t="s">
        <v>925</v>
      </c>
      <c r="B136" s="838"/>
      <c r="C136" s="800"/>
      <c r="D136" s="838"/>
      <c r="E136" s="800"/>
      <c r="F136" s="838"/>
      <c r="G136" s="800"/>
      <c r="H136" s="838"/>
      <c r="I136" s="800"/>
      <c r="J136" s="838"/>
      <c r="K136" s="814"/>
      <c r="L136" s="808">
        <f t="shared" si="31"/>
        <v>0</v>
      </c>
      <c r="M136" s="794">
        <f t="shared" si="31"/>
        <v>0</v>
      </c>
    </row>
    <row r="137" spans="1:13" ht="15">
      <c r="A137" s="833" t="s">
        <v>1975</v>
      </c>
      <c r="B137" s="838">
        <v>1040000</v>
      </c>
      <c r="C137" s="800">
        <v>1039875.89</v>
      </c>
      <c r="D137" s="838"/>
      <c r="E137" s="800"/>
      <c r="F137" s="838">
        <v>59761.5</v>
      </c>
      <c r="G137" s="800">
        <v>59761.5</v>
      </c>
      <c r="H137" s="838">
        <v>51150</v>
      </c>
      <c r="I137" s="800">
        <v>51145.04</v>
      </c>
      <c r="J137" s="838"/>
      <c r="K137" s="814"/>
      <c r="L137" s="808">
        <f t="shared" si="31"/>
        <v>1150911.5</v>
      </c>
      <c r="M137" s="794">
        <f t="shared" si="31"/>
        <v>1150782.4300000002</v>
      </c>
    </row>
    <row r="138" spans="1:13" ht="15">
      <c r="A138" s="351" t="s">
        <v>926</v>
      </c>
      <c r="B138" s="807"/>
      <c r="C138" s="784"/>
      <c r="D138" s="807"/>
      <c r="E138" s="784"/>
      <c r="F138" s="807"/>
      <c r="G138" s="784"/>
      <c r="H138" s="807"/>
      <c r="I138" s="784"/>
      <c r="J138" s="807"/>
      <c r="K138" s="794"/>
      <c r="L138" s="808">
        <f t="shared" si="31"/>
        <v>0</v>
      </c>
      <c r="M138" s="794">
        <f t="shared" si="31"/>
        <v>0</v>
      </c>
    </row>
    <row r="139" spans="1:13" ht="15">
      <c r="A139" s="351" t="s">
        <v>1141</v>
      </c>
      <c r="B139" s="807"/>
      <c r="C139" s="784"/>
      <c r="D139" s="807"/>
      <c r="E139" s="1094"/>
      <c r="F139" s="807">
        <v>32691</v>
      </c>
      <c r="G139" s="784">
        <v>32000</v>
      </c>
      <c r="H139" s="807"/>
      <c r="I139" s="784"/>
      <c r="J139" s="807"/>
      <c r="K139" s="794"/>
      <c r="L139" s="808">
        <f t="shared" si="31"/>
        <v>32691</v>
      </c>
      <c r="M139" s="794">
        <f t="shared" si="31"/>
        <v>32000</v>
      </c>
    </row>
    <row r="140" spans="1:13" ht="15">
      <c r="A140" s="351" t="s">
        <v>1977</v>
      </c>
      <c r="B140" s="807">
        <v>656000</v>
      </c>
      <c r="C140" s="784">
        <v>655698.02</v>
      </c>
      <c r="D140" s="807"/>
      <c r="E140" s="1094"/>
      <c r="F140" s="807">
        <v>255796</v>
      </c>
      <c r="G140" s="784">
        <v>251046</v>
      </c>
      <c r="H140" s="807"/>
      <c r="I140" s="784"/>
      <c r="J140" s="807"/>
      <c r="K140" s="794"/>
      <c r="L140" s="808">
        <f t="shared" si="31"/>
        <v>911796</v>
      </c>
      <c r="M140" s="794">
        <f t="shared" si="31"/>
        <v>906744.02</v>
      </c>
    </row>
    <row r="141" spans="1:13" ht="15">
      <c r="A141" s="351" t="s">
        <v>1982</v>
      </c>
      <c r="B141" s="807"/>
      <c r="C141" s="784"/>
      <c r="D141" s="807"/>
      <c r="E141" s="1094"/>
      <c r="F141" s="807"/>
      <c r="G141" s="784"/>
      <c r="H141" s="807">
        <v>3820</v>
      </c>
      <c r="I141" s="784">
        <v>3813</v>
      </c>
      <c r="J141" s="807"/>
      <c r="K141" s="794"/>
      <c r="L141" s="808">
        <f t="shared" si="31"/>
        <v>3820</v>
      </c>
      <c r="M141" s="794">
        <f t="shared" si="31"/>
        <v>3813</v>
      </c>
    </row>
    <row r="142" spans="1:13" ht="15">
      <c r="A142" s="351" t="s">
        <v>1979</v>
      </c>
      <c r="B142" s="807"/>
      <c r="C142" s="784"/>
      <c r="D142" s="807"/>
      <c r="E142" s="1094"/>
      <c r="F142" s="807"/>
      <c r="G142" s="784"/>
      <c r="H142" s="807"/>
      <c r="I142" s="784"/>
      <c r="J142" s="807"/>
      <c r="K142" s="794"/>
      <c r="L142" s="808">
        <f t="shared" si="31"/>
        <v>0</v>
      </c>
      <c r="M142" s="794">
        <f t="shared" si="31"/>
        <v>0</v>
      </c>
    </row>
    <row r="143" spans="1:13" ht="15">
      <c r="A143" s="351" t="s">
        <v>1980</v>
      </c>
      <c r="B143" s="807"/>
      <c r="C143" s="784"/>
      <c r="D143" s="807"/>
      <c r="E143" s="1094"/>
      <c r="F143" s="807"/>
      <c r="G143" s="784"/>
      <c r="H143" s="807"/>
      <c r="I143" s="784"/>
      <c r="J143" s="807"/>
      <c r="K143" s="794"/>
      <c r="L143" s="808">
        <f t="shared" si="31"/>
        <v>0</v>
      </c>
      <c r="M143" s="793">
        <f t="shared" si="31"/>
        <v>0</v>
      </c>
    </row>
    <row r="144" spans="1:13" ht="15">
      <c r="A144" s="351" t="s">
        <v>906</v>
      </c>
      <c r="B144" s="807"/>
      <c r="C144" s="784"/>
      <c r="D144" s="807"/>
      <c r="E144" s="1094"/>
      <c r="F144" s="807"/>
      <c r="G144" s="784"/>
      <c r="H144" s="807"/>
      <c r="I144" s="784"/>
      <c r="J144" s="807"/>
      <c r="K144" s="794"/>
      <c r="L144" s="808">
        <f t="shared" si="31"/>
        <v>0</v>
      </c>
      <c r="M144" s="793">
        <f t="shared" si="31"/>
        <v>0</v>
      </c>
    </row>
    <row r="145" spans="1:13" ht="15">
      <c r="A145" s="351" t="s">
        <v>583</v>
      </c>
      <c r="B145" s="807"/>
      <c r="C145" s="784"/>
      <c r="D145" s="807"/>
      <c r="E145" s="1094"/>
      <c r="F145" s="807">
        <v>1525</v>
      </c>
      <c r="G145" s="784">
        <v>1525</v>
      </c>
      <c r="H145" s="807">
        <v>3820</v>
      </c>
      <c r="I145" s="784">
        <v>3813</v>
      </c>
      <c r="J145" s="807"/>
      <c r="K145" s="794"/>
      <c r="L145" s="808">
        <f t="shared" si="31"/>
        <v>5345</v>
      </c>
      <c r="M145" s="793">
        <f t="shared" si="31"/>
        <v>5338</v>
      </c>
    </row>
    <row r="146" spans="1:13" ht="15">
      <c r="A146" s="1706" t="s">
        <v>546</v>
      </c>
      <c r="B146" s="1707"/>
      <c r="C146" s="1708"/>
      <c r="D146" s="1707"/>
      <c r="E146" s="1709"/>
      <c r="F146" s="1707">
        <v>20400</v>
      </c>
      <c r="G146" s="1709">
        <v>20400</v>
      </c>
      <c r="H146" s="1707"/>
      <c r="I146" s="1708"/>
      <c r="J146" s="1707"/>
      <c r="K146" s="1705"/>
      <c r="L146" s="1704">
        <f t="shared" si="31"/>
        <v>20400</v>
      </c>
      <c r="M146" s="1710">
        <f t="shared" si="31"/>
        <v>20400</v>
      </c>
    </row>
    <row r="147" spans="1:13" ht="15">
      <c r="A147" s="1706" t="s">
        <v>584</v>
      </c>
      <c r="B147" s="1707">
        <v>828000</v>
      </c>
      <c r="C147" s="1708">
        <v>827693.19</v>
      </c>
      <c r="D147" s="1707"/>
      <c r="E147" s="1709"/>
      <c r="F147" s="1707">
        <v>99200</v>
      </c>
      <c r="G147" s="1709">
        <v>99200</v>
      </c>
      <c r="H147" s="1707"/>
      <c r="I147" s="1708"/>
      <c r="J147" s="1707"/>
      <c r="K147" s="1705"/>
      <c r="L147" s="1704">
        <f t="shared" si="31"/>
        <v>927200</v>
      </c>
      <c r="M147" s="1710">
        <f t="shared" si="31"/>
        <v>926893.19</v>
      </c>
    </row>
    <row r="148" spans="1:13" ht="15">
      <c r="A148" s="351" t="s">
        <v>585</v>
      </c>
      <c r="B148" s="807"/>
      <c r="C148" s="784"/>
      <c r="D148" s="807"/>
      <c r="E148" s="1094"/>
      <c r="F148" s="807"/>
      <c r="G148" s="784"/>
      <c r="H148" s="807"/>
      <c r="I148" s="784"/>
      <c r="J148" s="807"/>
      <c r="K148" s="794"/>
      <c r="L148" s="808">
        <f t="shared" si="31"/>
        <v>0</v>
      </c>
      <c r="M148" s="793">
        <f t="shared" si="31"/>
        <v>0</v>
      </c>
    </row>
    <row r="149" spans="1:13" ht="15">
      <c r="A149" s="351" t="s">
        <v>1985</v>
      </c>
      <c r="B149" s="807"/>
      <c r="C149" s="1094"/>
      <c r="D149" s="807"/>
      <c r="E149" s="1094"/>
      <c r="F149" s="807"/>
      <c r="G149" s="1094"/>
      <c r="H149" s="807"/>
      <c r="I149" s="1094"/>
      <c r="J149" s="807"/>
      <c r="K149" s="1094"/>
      <c r="L149" s="808">
        <f t="shared" si="31"/>
        <v>0</v>
      </c>
      <c r="M149" s="793">
        <f t="shared" si="31"/>
        <v>0</v>
      </c>
    </row>
    <row r="150" spans="1:13" ht="15">
      <c r="A150" s="901">
        <v>502</v>
      </c>
      <c r="B150" s="810">
        <f>SUM(B151:B161)</f>
        <v>1855500</v>
      </c>
      <c r="C150" s="810">
        <f t="shared" ref="C150:K150" si="37">SUM(C151:C161)</f>
        <v>1851744.04</v>
      </c>
      <c r="D150" s="810">
        <f t="shared" si="37"/>
        <v>639117</v>
      </c>
      <c r="E150" s="810">
        <f t="shared" si="37"/>
        <v>612679.97</v>
      </c>
      <c r="F150" s="810">
        <f t="shared" si="37"/>
        <v>218019.02</v>
      </c>
      <c r="G150" s="810">
        <f t="shared" si="37"/>
        <v>218019.02</v>
      </c>
      <c r="H150" s="810">
        <f t="shared" si="37"/>
        <v>454800</v>
      </c>
      <c r="I150" s="810">
        <f t="shared" si="37"/>
        <v>454798</v>
      </c>
      <c r="J150" s="810">
        <f t="shared" si="37"/>
        <v>131700</v>
      </c>
      <c r="K150" s="810">
        <f t="shared" si="37"/>
        <v>131700</v>
      </c>
      <c r="L150" s="816">
        <f t="shared" si="31"/>
        <v>3299136.02</v>
      </c>
      <c r="M150" s="811">
        <f t="shared" si="31"/>
        <v>3268941.03</v>
      </c>
    </row>
    <row r="151" spans="1:13" ht="15">
      <c r="A151" s="351" t="s">
        <v>593</v>
      </c>
      <c r="B151" s="838">
        <v>893000</v>
      </c>
      <c r="C151" s="800">
        <v>892980</v>
      </c>
      <c r="D151" s="838"/>
      <c r="E151" s="800"/>
      <c r="F151" s="838"/>
      <c r="G151" s="800"/>
      <c r="H151" s="838"/>
      <c r="I151" s="800"/>
      <c r="J151" s="838"/>
      <c r="K151" s="814"/>
      <c r="L151" s="808">
        <f t="shared" si="31"/>
        <v>893000</v>
      </c>
      <c r="M151" s="794">
        <f t="shared" si="31"/>
        <v>892980</v>
      </c>
    </row>
    <row r="152" spans="1:13" ht="15">
      <c r="A152" s="604" t="s">
        <v>1142</v>
      </c>
      <c r="B152" s="838"/>
      <c r="C152" s="784"/>
      <c r="D152" s="807"/>
      <c r="E152" s="784"/>
      <c r="F152" s="807"/>
      <c r="G152" s="784"/>
      <c r="H152" s="807"/>
      <c r="I152" s="784"/>
      <c r="J152" s="807"/>
      <c r="K152" s="794"/>
      <c r="L152" s="808">
        <f t="shared" si="31"/>
        <v>0</v>
      </c>
      <c r="M152" s="794">
        <f t="shared" si="31"/>
        <v>0</v>
      </c>
    </row>
    <row r="153" spans="1:13" ht="15">
      <c r="A153" s="604" t="s">
        <v>1989</v>
      </c>
      <c r="B153" s="838">
        <v>390000</v>
      </c>
      <c r="C153" s="784">
        <v>386317.85</v>
      </c>
      <c r="D153" s="807">
        <v>172000</v>
      </c>
      <c r="E153" s="784">
        <v>145795.53</v>
      </c>
      <c r="F153" s="807"/>
      <c r="G153" s="784"/>
      <c r="H153" s="807"/>
      <c r="I153" s="784"/>
      <c r="J153" s="807"/>
      <c r="K153" s="794"/>
      <c r="L153" s="808">
        <f t="shared" si="31"/>
        <v>562000</v>
      </c>
      <c r="M153" s="794">
        <f t="shared" si="31"/>
        <v>532113.38</v>
      </c>
    </row>
    <row r="154" spans="1:13" ht="15">
      <c r="A154" s="604" t="s">
        <v>1515</v>
      </c>
      <c r="B154" s="838">
        <v>548000</v>
      </c>
      <c r="C154" s="784">
        <v>547946.18999999994</v>
      </c>
      <c r="D154" s="807">
        <v>7400</v>
      </c>
      <c r="E154" s="784">
        <v>7304.44</v>
      </c>
      <c r="F154" s="807">
        <v>29219.02</v>
      </c>
      <c r="G154" s="784">
        <v>29219.02</v>
      </c>
      <c r="H154" s="807">
        <v>205000</v>
      </c>
      <c r="I154" s="784">
        <v>205000</v>
      </c>
      <c r="J154" s="807"/>
      <c r="K154" s="794"/>
      <c r="L154" s="808">
        <f t="shared" si="31"/>
        <v>789619.02</v>
      </c>
      <c r="M154" s="794">
        <f t="shared" si="31"/>
        <v>789469.64999999991</v>
      </c>
    </row>
    <row r="155" spans="1:13" ht="15">
      <c r="A155" s="351" t="s">
        <v>907</v>
      </c>
      <c r="B155" s="838">
        <v>24500</v>
      </c>
      <c r="C155" s="784">
        <v>24500</v>
      </c>
      <c r="D155" s="807">
        <v>325200</v>
      </c>
      <c r="E155" s="784">
        <v>325200</v>
      </c>
      <c r="F155" s="807">
        <v>157400</v>
      </c>
      <c r="G155" s="784">
        <v>157400</v>
      </c>
      <c r="H155" s="807">
        <v>60000</v>
      </c>
      <c r="I155" s="784">
        <v>60000</v>
      </c>
      <c r="J155" s="807">
        <v>131700</v>
      </c>
      <c r="K155" s="794">
        <v>131700</v>
      </c>
      <c r="L155" s="808">
        <f t="shared" si="31"/>
        <v>698800</v>
      </c>
      <c r="M155" s="794">
        <f t="shared" si="31"/>
        <v>698800</v>
      </c>
    </row>
    <row r="156" spans="1:13" ht="15">
      <c r="A156" s="351" t="s">
        <v>1516</v>
      </c>
      <c r="B156" s="838"/>
      <c r="C156" s="784"/>
      <c r="D156" s="807"/>
      <c r="E156" s="784"/>
      <c r="F156" s="807"/>
      <c r="G156" s="784"/>
      <c r="H156" s="807"/>
      <c r="I156" s="784"/>
      <c r="J156" s="807"/>
      <c r="K156" s="794"/>
      <c r="L156" s="808">
        <f t="shared" si="31"/>
        <v>0</v>
      </c>
      <c r="M156" s="794">
        <f t="shared" si="31"/>
        <v>0</v>
      </c>
    </row>
    <row r="157" spans="1:13" ht="15">
      <c r="A157" s="351" t="s">
        <v>927</v>
      </c>
      <c r="B157" s="838"/>
      <c r="C157" s="784"/>
      <c r="D157" s="807">
        <v>2183</v>
      </c>
      <c r="E157" s="784">
        <v>2183</v>
      </c>
      <c r="F157" s="807"/>
      <c r="G157" s="784"/>
      <c r="H157" s="807">
        <v>700</v>
      </c>
      <c r="I157" s="784">
        <v>698</v>
      </c>
      <c r="J157" s="807"/>
      <c r="K157" s="794"/>
      <c r="L157" s="808">
        <f t="shared" si="31"/>
        <v>2883</v>
      </c>
      <c r="M157" s="794">
        <f t="shared" si="31"/>
        <v>2881</v>
      </c>
    </row>
    <row r="158" spans="1:13" ht="15">
      <c r="A158" s="351" t="s">
        <v>1990</v>
      </c>
      <c r="B158" s="838"/>
      <c r="C158" s="784"/>
      <c r="D158" s="807">
        <v>4517</v>
      </c>
      <c r="E158" s="784">
        <v>4380</v>
      </c>
      <c r="F158" s="807"/>
      <c r="G158" s="784"/>
      <c r="H158" s="807"/>
      <c r="I158" s="784"/>
      <c r="J158" s="807"/>
      <c r="K158" s="794"/>
      <c r="L158" s="808">
        <f t="shared" si="31"/>
        <v>4517</v>
      </c>
      <c r="M158" s="794">
        <f t="shared" si="31"/>
        <v>4380</v>
      </c>
    </row>
    <row r="159" spans="1:13" ht="15">
      <c r="A159" s="351" t="s">
        <v>582</v>
      </c>
      <c r="B159" s="838"/>
      <c r="C159" s="784"/>
      <c r="D159" s="807"/>
      <c r="E159" s="784"/>
      <c r="F159" s="807"/>
      <c r="G159" s="784"/>
      <c r="H159" s="807">
        <v>120000</v>
      </c>
      <c r="I159" s="784">
        <v>120000</v>
      </c>
      <c r="J159" s="807"/>
      <c r="K159" s="794"/>
      <c r="L159" s="808">
        <f t="shared" si="31"/>
        <v>120000</v>
      </c>
      <c r="M159" s="794">
        <f t="shared" si="31"/>
        <v>120000</v>
      </c>
    </row>
    <row r="160" spans="1:13" ht="15">
      <c r="A160" s="1706" t="s">
        <v>548</v>
      </c>
      <c r="B160" s="1707"/>
      <c r="C160" s="1708"/>
      <c r="D160" s="1707">
        <v>127817</v>
      </c>
      <c r="E160" s="1708">
        <v>127817</v>
      </c>
      <c r="F160" s="1707"/>
      <c r="G160" s="1708"/>
      <c r="H160" s="1707">
        <v>69100</v>
      </c>
      <c r="I160" s="1708">
        <v>69100</v>
      </c>
      <c r="J160" s="1707"/>
      <c r="K160" s="1705"/>
      <c r="L160" s="1704">
        <f t="shared" si="31"/>
        <v>196917</v>
      </c>
      <c r="M160" s="1705">
        <f t="shared" si="31"/>
        <v>196917</v>
      </c>
    </row>
    <row r="161" spans="1:13" ht="15">
      <c r="A161" s="1706" t="s">
        <v>547</v>
      </c>
      <c r="B161" s="1707"/>
      <c r="C161" s="1708"/>
      <c r="D161" s="1707"/>
      <c r="E161" s="1708"/>
      <c r="F161" s="1707">
        <v>31400</v>
      </c>
      <c r="G161" s="1708">
        <v>31400</v>
      </c>
      <c r="H161" s="1707"/>
      <c r="I161" s="1708"/>
      <c r="J161" s="1707"/>
      <c r="K161" s="1705"/>
      <c r="L161" s="1704">
        <f t="shared" si="31"/>
        <v>31400</v>
      </c>
      <c r="M161" s="1705">
        <f t="shared" si="31"/>
        <v>31400</v>
      </c>
    </row>
    <row r="162" spans="1:13" ht="15">
      <c r="A162" s="831">
        <v>503</v>
      </c>
      <c r="B162" s="840">
        <f>SUM(B163:B185)</f>
        <v>3003112.44</v>
      </c>
      <c r="C162" s="840">
        <f t="shared" ref="C162:K162" si="38">SUM(C163:C185)</f>
        <v>2985555.8100000005</v>
      </c>
      <c r="D162" s="840">
        <f t="shared" si="38"/>
        <v>352905</v>
      </c>
      <c r="E162" s="840">
        <f t="shared" si="38"/>
        <v>338005.05</v>
      </c>
      <c r="F162" s="840">
        <f t="shared" si="38"/>
        <v>80229.14</v>
      </c>
      <c r="G162" s="840">
        <f t="shared" si="38"/>
        <v>80229.14</v>
      </c>
      <c r="H162" s="840">
        <f t="shared" si="38"/>
        <v>173430</v>
      </c>
      <c r="I162" s="840">
        <f t="shared" si="38"/>
        <v>173413.72</v>
      </c>
      <c r="J162" s="840">
        <f t="shared" si="38"/>
        <v>73535</v>
      </c>
      <c r="K162" s="840">
        <f t="shared" si="38"/>
        <v>73535</v>
      </c>
      <c r="L162" s="816">
        <f t="shared" si="31"/>
        <v>3683211.58</v>
      </c>
      <c r="M162" s="811">
        <f t="shared" si="31"/>
        <v>3650738.7200000007</v>
      </c>
    </row>
    <row r="163" spans="1:13" ht="15">
      <c r="A163" s="1454" t="s">
        <v>908</v>
      </c>
      <c r="B163" s="882"/>
      <c r="C163" s="1097"/>
      <c r="D163" s="882"/>
      <c r="E163" s="1097"/>
      <c r="F163" s="882"/>
      <c r="G163" s="1097"/>
      <c r="H163" s="882"/>
      <c r="I163" s="1097"/>
      <c r="J163" s="882"/>
      <c r="K163" s="1098"/>
      <c r="L163" s="808">
        <f t="shared" si="31"/>
        <v>0</v>
      </c>
      <c r="M163" s="794">
        <f t="shared" si="31"/>
        <v>0</v>
      </c>
    </row>
    <row r="164" spans="1:13" ht="15">
      <c r="A164" s="1454" t="s">
        <v>909</v>
      </c>
      <c r="B164" s="882"/>
      <c r="C164" s="1097"/>
      <c r="D164" s="882"/>
      <c r="E164" s="1097"/>
      <c r="F164" s="882"/>
      <c r="G164" s="1097"/>
      <c r="H164" s="882"/>
      <c r="I164" s="1097"/>
      <c r="J164" s="882"/>
      <c r="K164" s="1098"/>
      <c r="L164" s="808">
        <f t="shared" si="31"/>
        <v>0</v>
      </c>
      <c r="M164" s="794">
        <f t="shared" si="31"/>
        <v>0</v>
      </c>
    </row>
    <row r="165" spans="1:13" ht="15">
      <c r="A165" s="1702" t="s">
        <v>557</v>
      </c>
      <c r="B165" s="1703"/>
      <c r="C165" s="1711"/>
      <c r="D165" s="1703"/>
      <c r="E165" s="1711"/>
      <c r="F165" s="1703"/>
      <c r="G165" s="1711"/>
      <c r="H165" s="1703"/>
      <c r="I165" s="1711"/>
      <c r="J165" s="1703">
        <v>72800</v>
      </c>
      <c r="K165" s="1712">
        <v>72800</v>
      </c>
      <c r="L165" s="1704">
        <f t="shared" si="31"/>
        <v>72800</v>
      </c>
      <c r="M165" s="1705">
        <f t="shared" si="31"/>
        <v>72800</v>
      </c>
    </row>
    <row r="166" spans="1:13" ht="15">
      <c r="A166" s="1099" t="s">
        <v>594</v>
      </c>
      <c r="B166" s="882">
        <v>122000</v>
      </c>
      <c r="C166" s="1097">
        <v>121347.11</v>
      </c>
      <c r="D166" s="882"/>
      <c r="E166" s="1097"/>
      <c r="F166" s="882"/>
      <c r="G166" s="1097"/>
      <c r="H166" s="882"/>
      <c r="I166" s="1097"/>
      <c r="J166" s="882"/>
      <c r="K166" s="1098"/>
      <c r="L166" s="808">
        <f t="shared" si="31"/>
        <v>122000</v>
      </c>
      <c r="M166" s="794">
        <f t="shared" si="31"/>
        <v>121347.11</v>
      </c>
    </row>
    <row r="167" spans="1:13" ht="15">
      <c r="A167" s="1099" t="s">
        <v>595</v>
      </c>
      <c r="B167" s="882">
        <v>134000</v>
      </c>
      <c r="C167" s="1097">
        <v>133135.45000000001</v>
      </c>
      <c r="D167" s="882"/>
      <c r="E167" s="1097"/>
      <c r="F167" s="882"/>
      <c r="G167" s="1097"/>
      <c r="H167" s="882"/>
      <c r="I167" s="1097"/>
      <c r="J167" s="882"/>
      <c r="K167" s="1098"/>
      <c r="L167" s="808">
        <f t="shared" si="31"/>
        <v>134000</v>
      </c>
      <c r="M167" s="794">
        <f t="shared" si="31"/>
        <v>133135.45000000001</v>
      </c>
    </row>
    <row r="168" spans="1:13" ht="15">
      <c r="A168" s="1099" t="s">
        <v>1993</v>
      </c>
      <c r="B168" s="882">
        <v>10000</v>
      </c>
      <c r="C168" s="1097"/>
      <c r="D168" s="882">
        <v>67205</v>
      </c>
      <c r="E168" s="1097">
        <v>67204.13</v>
      </c>
      <c r="F168" s="882">
        <v>27840.95</v>
      </c>
      <c r="G168" s="1097">
        <v>27840.95</v>
      </c>
      <c r="H168" s="882"/>
      <c r="I168" s="1097"/>
      <c r="J168" s="882"/>
      <c r="K168" s="1098"/>
      <c r="L168" s="808">
        <f t="shared" si="31"/>
        <v>105045.95</v>
      </c>
      <c r="M168" s="794">
        <f t="shared" si="31"/>
        <v>95045.08</v>
      </c>
    </row>
    <row r="169" spans="1:13" ht="15">
      <c r="A169" s="1099" t="s">
        <v>550</v>
      </c>
      <c r="B169" s="882"/>
      <c r="C169" s="1097"/>
      <c r="D169" s="882">
        <v>180000</v>
      </c>
      <c r="E169" s="1097">
        <v>165112.79999999999</v>
      </c>
      <c r="F169" s="882">
        <v>33908.1</v>
      </c>
      <c r="G169" s="1097">
        <v>33908.1</v>
      </c>
      <c r="H169" s="882">
        <v>20425</v>
      </c>
      <c r="I169" s="1097">
        <v>20424.03</v>
      </c>
      <c r="J169" s="882">
        <v>735</v>
      </c>
      <c r="K169" s="1098">
        <v>735</v>
      </c>
      <c r="L169" s="808">
        <f t="shared" si="31"/>
        <v>235068.1</v>
      </c>
      <c r="M169" s="794">
        <f t="shared" si="31"/>
        <v>220179.93</v>
      </c>
    </row>
    <row r="170" spans="1:13" ht="15">
      <c r="A170" s="1099" t="s">
        <v>1995</v>
      </c>
      <c r="B170" s="882"/>
      <c r="C170" s="1097"/>
      <c r="D170" s="882"/>
      <c r="E170" s="1097"/>
      <c r="F170" s="882">
        <v>1800</v>
      </c>
      <c r="G170" s="1097">
        <v>1800</v>
      </c>
      <c r="H170" s="882"/>
      <c r="I170" s="1097"/>
      <c r="J170" s="882"/>
      <c r="K170" s="1098"/>
      <c r="L170" s="808">
        <f t="shared" si="31"/>
        <v>1800</v>
      </c>
      <c r="M170" s="794">
        <f t="shared" si="31"/>
        <v>1800</v>
      </c>
    </row>
    <row r="171" spans="1:13" ht="15">
      <c r="A171" s="1099" t="s">
        <v>1992</v>
      </c>
      <c r="B171" s="882"/>
      <c r="C171" s="1097"/>
      <c r="D171" s="882"/>
      <c r="E171" s="1097"/>
      <c r="F171" s="882"/>
      <c r="G171" s="1097"/>
      <c r="H171" s="882"/>
      <c r="I171" s="1097"/>
      <c r="J171" s="882"/>
      <c r="K171" s="1098"/>
      <c r="L171" s="808">
        <f t="shared" si="31"/>
        <v>0</v>
      </c>
      <c r="M171" s="794">
        <f t="shared" si="31"/>
        <v>0</v>
      </c>
    </row>
    <row r="172" spans="1:13" ht="15">
      <c r="A172" s="1099" t="s">
        <v>1996</v>
      </c>
      <c r="B172" s="882">
        <v>19500</v>
      </c>
      <c r="C172" s="790">
        <v>19500</v>
      </c>
      <c r="D172" s="882"/>
      <c r="E172" s="1097"/>
      <c r="F172" s="882">
        <v>2050</v>
      </c>
      <c r="G172" s="1097">
        <v>2050</v>
      </c>
      <c r="H172" s="882"/>
      <c r="I172" s="1097"/>
      <c r="J172" s="882"/>
      <c r="K172" s="1098"/>
      <c r="L172" s="808">
        <f t="shared" si="31"/>
        <v>21550</v>
      </c>
      <c r="M172" s="794">
        <f t="shared" si="31"/>
        <v>21550</v>
      </c>
    </row>
    <row r="173" spans="1:13" ht="15">
      <c r="A173" s="1455" t="s">
        <v>551</v>
      </c>
      <c r="B173" s="807"/>
      <c r="C173" s="784"/>
      <c r="D173" s="807">
        <v>77000</v>
      </c>
      <c r="E173" s="784">
        <v>77000</v>
      </c>
      <c r="F173" s="807"/>
      <c r="G173" s="784"/>
      <c r="H173" s="807">
        <v>72000</v>
      </c>
      <c r="I173" s="784">
        <v>72000</v>
      </c>
      <c r="J173" s="807"/>
      <c r="K173" s="794"/>
      <c r="L173" s="808">
        <f t="shared" si="31"/>
        <v>149000</v>
      </c>
      <c r="M173" s="794">
        <f t="shared" si="31"/>
        <v>149000</v>
      </c>
    </row>
    <row r="174" spans="1:13" ht="15">
      <c r="A174" s="1456" t="s">
        <v>552</v>
      </c>
      <c r="B174" s="807">
        <v>886812.44</v>
      </c>
      <c r="C174" s="784">
        <v>881725</v>
      </c>
      <c r="D174" s="807"/>
      <c r="E174" s="784"/>
      <c r="F174" s="807"/>
      <c r="G174" s="784"/>
      <c r="H174" s="807"/>
      <c r="I174" s="784"/>
      <c r="J174" s="807"/>
      <c r="K174" s="794"/>
      <c r="L174" s="808">
        <f t="shared" si="31"/>
        <v>886812.44</v>
      </c>
      <c r="M174" s="794">
        <f t="shared" si="31"/>
        <v>881725</v>
      </c>
    </row>
    <row r="175" spans="1:13" ht="15">
      <c r="A175" s="1456" t="s">
        <v>596</v>
      </c>
      <c r="B175" s="807">
        <v>27000</v>
      </c>
      <c r="C175" s="784">
        <v>26974.55</v>
      </c>
      <c r="D175" s="807"/>
      <c r="E175" s="784"/>
      <c r="F175" s="807"/>
      <c r="G175" s="784"/>
      <c r="H175" s="807"/>
      <c r="I175" s="784"/>
      <c r="J175" s="807"/>
      <c r="K175" s="794"/>
      <c r="L175" s="808">
        <f t="shared" si="31"/>
        <v>27000</v>
      </c>
      <c r="M175" s="794">
        <f t="shared" si="31"/>
        <v>26974.55</v>
      </c>
    </row>
    <row r="176" spans="1:13" ht="15">
      <c r="A176" s="351" t="s">
        <v>597</v>
      </c>
      <c r="B176" s="807">
        <v>226000</v>
      </c>
      <c r="C176" s="784">
        <v>225351.29</v>
      </c>
      <c r="D176" s="807"/>
      <c r="E176" s="784"/>
      <c r="F176" s="807"/>
      <c r="G176" s="784"/>
      <c r="H176" s="807"/>
      <c r="I176" s="784"/>
      <c r="J176" s="807"/>
      <c r="K176" s="794"/>
      <c r="L176" s="808">
        <f t="shared" si="31"/>
        <v>226000</v>
      </c>
      <c r="M176" s="794">
        <f t="shared" si="31"/>
        <v>225351.29</v>
      </c>
    </row>
    <row r="177" spans="1:13" ht="15">
      <c r="A177" s="351" t="s">
        <v>598</v>
      </c>
      <c r="B177" s="807">
        <v>318000</v>
      </c>
      <c r="C177" s="784">
        <v>317911.36</v>
      </c>
      <c r="D177" s="807"/>
      <c r="E177" s="784"/>
      <c r="F177" s="807"/>
      <c r="G177" s="784"/>
      <c r="H177" s="807"/>
      <c r="I177" s="784"/>
      <c r="J177" s="807"/>
      <c r="K177" s="794"/>
      <c r="L177" s="808">
        <f t="shared" si="31"/>
        <v>318000</v>
      </c>
      <c r="M177" s="794">
        <f t="shared" si="31"/>
        <v>317911.36</v>
      </c>
    </row>
    <row r="178" spans="1:13" ht="15">
      <c r="A178" s="1456" t="s">
        <v>928</v>
      </c>
      <c r="B178" s="807"/>
      <c r="C178" s="784"/>
      <c r="D178" s="807"/>
      <c r="E178" s="784"/>
      <c r="F178" s="807"/>
      <c r="G178" s="784"/>
      <c r="H178" s="807">
        <v>14620</v>
      </c>
      <c r="I178" s="784">
        <v>14616.5</v>
      </c>
      <c r="J178" s="807"/>
      <c r="K178" s="794"/>
      <c r="L178" s="808">
        <f t="shared" si="31"/>
        <v>14620</v>
      </c>
      <c r="M178" s="794">
        <f t="shared" si="31"/>
        <v>14616.5</v>
      </c>
    </row>
    <row r="179" spans="1:13" ht="15">
      <c r="A179" s="1456" t="s">
        <v>553</v>
      </c>
      <c r="B179" s="807"/>
      <c r="C179" s="784"/>
      <c r="D179" s="807"/>
      <c r="E179" s="784"/>
      <c r="F179" s="807"/>
      <c r="G179" s="784"/>
      <c r="H179" s="807">
        <v>12385</v>
      </c>
      <c r="I179" s="784">
        <v>12373.19</v>
      </c>
      <c r="J179" s="807"/>
      <c r="K179" s="794"/>
      <c r="L179" s="808">
        <f t="shared" si="31"/>
        <v>12385</v>
      </c>
      <c r="M179" s="794">
        <f t="shared" si="31"/>
        <v>12373.19</v>
      </c>
    </row>
    <row r="180" spans="1:13" ht="15">
      <c r="A180" s="1456" t="s">
        <v>910</v>
      </c>
      <c r="B180" s="807"/>
      <c r="C180" s="784"/>
      <c r="D180" s="807">
        <v>12000</v>
      </c>
      <c r="E180" s="784">
        <v>12000</v>
      </c>
      <c r="F180" s="807"/>
      <c r="G180" s="784"/>
      <c r="H180" s="807"/>
      <c r="I180" s="784"/>
      <c r="J180" s="807"/>
      <c r="K180" s="794"/>
      <c r="L180" s="808">
        <f t="shared" si="31"/>
        <v>12000</v>
      </c>
      <c r="M180" s="794">
        <f t="shared" si="31"/>
        <v>12000</v>
      </c>
    </row>
    <row r="181" spans="1:13" ht="15">
      <c r="A181" s="351" t="s">
        <v>911</v>
      </c>
      <c r="B181" s="807">
        <v>828000</v>
      </c>
      <c r="C181" s="784">
        <v>827811.05</v>
      </c>
      <c r="D181" s="807"/>
      <c r="E181" s="784"/>
      <c r="F181" s="807"/>
      <c r="G181" s="784"/>
      <c r="H181" s="807">
        <v>24000</v>
      </c>
      <c r="I181" s="784">
        <v>24000</v>
      </c>
      <c r="J181" s="807"/>
      <c r="K181" s="794"/>
      <c r="L181" s="808">
        <f t="shared" si="31"/>
        <v>852000</v>
      </c>
      <c r="M181" s="794">
        <f t="shared" si="31"/>
        <v>851811.05</v>
      </c>
    </row>
    <row r="182" spans="1:13" ht="15">
      <c r="A182" s="351" t="s">
        <v>555</v>
      </c>
      <c r="B182" s="807">
        <v>60000</v>
      </c>
      <c r="C182" s="784">
        <v>60000</v>
      </c>
      <c r="D182" s="807"/>
      <c r="E182" s="784"/>
      <c r="F182" s="807"/>
      <c r="G182" s="784"/>
      <c r="H182" s="807"/>
      <c r="I182" s="784"/>
      <c r="J182" s="807"/>
      <c r="K182" s="794"/>
      <c r="L182" s="808">
        <f t="shared" si="31"/>
        <v>60000</v>
      </c>
      <c r="M182" s="794">
        <f t="shared" si="31"/>
        <v>60000</v>
      </c>
    </row>
    <row r="183" spans="1:13" ht="15">
      <c r="A183" s="351" t="s">
        <v>2461</v>
      </c>
      <c r="B183" s="807">
        <v>180000</v>
      </c>
      <c r="C183" s="784">
        <v>180000</v>
      </c>
      <c r="D183" s="807">
        <v>16700</v>
      </c>
      <c r="E183" s="784">
        <v>16688.12</v>
      </c>
      <c r="F183" s="807">
        <v>14630.09</v>
      </c>
      <c r="G183" s="784">
        <v>14630.09</v>
      </c>
      <c r="H183" s="807"/>
      <c r="I183" s="784"/>
      <c r="J183" s="807"/>
      <c r="K183" s="794"/>
      <c r="L183" s="808">
        <f t="shared" si="31"/>
        <v>211330.09</v>
      </c>
      <c r="M183" s="794">
        <f t="shared" si="31"/>
        <v>211318.21</v>
      </c>
    </row>
    <row r="184" spans="1:13" ht="15">
      <c r="A184" s="1706" t="s">
        <v>599</v>
      </c>
      <c r="B184" s="1707">
        <v>191800</v>
      </c>
      <c r="C184" s="1708">
        <v>191800</v>
      </c>
      <c r="D184" s="1707"/>
      <c r="E184" s="1708"/>
      <c r="F184" s="1707"/>
      <c r="G184" s="1708"/>
      <c r="H184" s="1707"/>
      <c r="I184" s="1708"/>
      <c r="J184" s="1707"/>
      <c r="K184" s="1705"/>
      <c r="L184" s="1704">
        <f t="shared" si="31"/>
        <v>191800</v>
      </c>
      <c r="M184" s="1705">
        <f t="shared" si="31"/>
        <v>191800</v>
      </c>
    </row>
    <row r="185" spans="1:13" ht="15">
      <c r="A185" s="351" t="s">
        <v>2462</v>
      </c>
      <c r="B185" s="807"/>
      <c r="C185" s="784"/>
      <c r="D185" s="807"/>
      <c r="E185" s="784"/>
      <c r="F185" s="807"/>
      <c r="G185" s="784"/>
      <c r="H185" s="807">
        <v>30000</v>
      </c>
      <c r="I185" s="784">
        <v>30000</v>
      </c>
      <c r="J185" s="807"/>
      <c r="K185" s="794"/>
      <c r="L185" s="808">
        <f t="shared" si="31"/>
        <v>30000</v>
      </c>
      <c r="M185" s="794">
        <f t="shared" si="31"/>
        <v>30000</v>
      </c>
    </row>
    <row r="186" spans="1:13" ht="15">
      <c r="A186" s="831">
        <v>504</v>
      </c>
      <c r="B186" s="840">
        <f>B187</f>
        <v>0</v>
      </c>
      <c r="C186" s="813">
        <f t="shared" ref="C186:K186" si="39">C187</f>
        <v>0</v>
      </c>
      <c r="D186" s="840">
        <f t="shared" si="39"/>
        <v>0</v>
      </c>
      <c r="E186" s="813">
        <f>E187</f>
        <v>0</v>
      </c>
      <c r="F186" s="840">
        <f t="shared" si="39"/>
        <v>0</v>
      </c>
      <c r="G186" s="813">
        <f t="shared" si="39"/>
        <v>0</v>
      </c>
      <c r="H186" s="840">
        <f>H187</f>
        <v>0</v>
      </c>
      <c r="I186" s="813">
        <f t="shared" si="39"/>
        <v>0</v>
      </c>
      <c r="J186" s="840">
        <f t="shared" si="39"/>
        <v>0</v>
      </c>
      <c r="K186" s="812">
        <f t="shared" si="39"/>
        <v>0</v>
      </c>
      <c r="L186" s="816">
        <f t="shared" si="31"/>
        <v>0</v>
      </c>
      <c r="M186" s="811">
        <f t="shared" si="31"/>
        <v>0</v>
      </c>
    </row>
    <row r="187" spans="1:13" ht="15">
      <c r="A187" s="351">
        <v>241</v>
      </c>
      <c r="B187" s="807"/>
      <c r="C187" s="784"/>
      <c r="D187" s="807"/>
      <c r="E187" s="784"/>
      <c r="F187" s="807"/>
      <c r="G187" s="784"/>
      <c r="H187" s="807"/>
      <c r="I187" s="784"/>
      <c r="J187" s="807"/>
      <c r="K187" s="794"/>
      <c r="L187" s="808">
        <f t="shared" si="31"/>
        <v>0</v>
      </c>
      <c r="M187" s="794">
        <f t="shared" si="31"/>
        <v>0</v>
      </c>
    </row>
    <row r="188" spans="1:13" ht="15">
      <c r="A188" s="832">
        <v>801</v>
      </c>
      <c r="B188" s="810">
        <f>SUM(B189:B195)</f>
        <v>383010</v>
      </c>
      <c r="C188" s="810">
        <f t="shared" ref="C188:K188" si="40">SUM(C189:C195)</f>
        <v>381506.81</v>
      </c>
      <c r="D188" s="810">
        <f t="shared" si="40"/>
        <v>127300</v>
      </c>
      <c r="E188" s="810">
        <f t="shared" si="40"/>
        <v>125900</v>
      </c>
      <c r="F188" s="810">
        <f t="shared" si="40"/>
        <v>122395</v>
      </c>
      <c r="G188" s="810">
        <f t="shared" si="40"/>
        <v>122000</v>
      </c>
      <c r="H188" s="810">
        <f t="shared" si="40"/>
        <v>61800</v>
      </c>
      <c r="I188" s="810">
        <f t="shared" si="40"/>
        <v>61800</v>
      </c>
      <c r="J188" s="810">
        <f t="shared" si="40"/>
        <v>0</v>
      </c>
      <c r="K188" s="810">
        <f t="shared" si="40"/>
        <v>0</v>
      </c>
      <c r="L188" s="816">
        <f t="shared" si="31"/>
        <v>694505</v>
      </c>
      <c r="M188" s="811">
        <f t="shared" si="31"/>
        <v>691206.81</v>
      </c>
    </row>
    <row r="189" spans="1:13" ht="15">
      <c r="A189" s="351" t="s">
        <v>2348</v>
      </c>
      <c r="B189" s="807"/>
      <c r="C189" s="784"/>
      <c r="D189" s="807"/>
      <c r="E189" s="784"/>
      <c r="F189" s="807"/>
      <c r="G189" s="784"/>
      <c r="H189" s="807"/>
      <c r="I189" s="784"/>
      <c r="J189" s="807"/>
      <c r="K189" s="794"/>
      <c r="L189" s="808">
        <f t="shared" si="31"/>
        <v>0</v>
      </c>
      <c r="M189" s="794">
        <f t="shared" si="31"/>
        <v>0</v>
      </c>
    </row>
    <row r="190" spans="1:13" ht="15">
      <c r="A190" s="351" t="s">
        <v>2354</v>
      </c>
      <c r="B190" s="807">
        <v>60000</v>
      </c>
      <c r="C190" s="784">
        <v>59650</v>
      </c>
      <c r="D190" s="807">
        <v>46000</v>
      </c>
      <c r="E190" s="784">
        <v>45900</v>
      </c>
      <c r="F190" s="807">
        <v>4800</v>
      </c>
      <c r="G190" s="784">
        <v>4800</v>
      </c>
      <c r="H190" s="807"/>
      <c r="I190" s="784"/>
      <c r="J190" s="807"/>
      <c r="K190" s="794"/>
      <c r="L190" s="808">
        <f t="shared" ref="L190:M219" si="41">B190+D190+F190+H190+J190</f>
        <v>110800</v>
      </c>
      <c r="M190" s="794">
        <f t="shared" si="41"/>
        <v>110350</v>
      </c>
    </row>
    <row r="191" spans="1:13" ht="15">
      <c r="A191" s="351" t="s">
        <v>2356</v>
      </c>
      <c r="B191" s="807">
        <v>233000</v>
      </c>
      <c r="C191" s="784">
        <v>232800</v>
      </c>
      <c r="D191" s="807">
        <v>41300</v>
      </c>
      <c r="E191" s="784">
        <v>41300</v>
      </c>
      <c r="F191" s="807">
        <v>64895</v>
      </c>
      <c r="G191" s="784">
        <v>64500</v>
      </c>
      <c r="H191" s="807">
        <v>41800</v>
      </c>
      <c r="I191" s="784">
        <v>41800</v>
      </c>
      <c r="J191" s="807"/>
      <c r="K191" s="794"/>
      <c r="L191" s="808">
        <f t="shared" si="41"/>
        <v>380995</v>
      </c>
      <c r="M191" s="794">
        <f t="shared" si="41"/>
        <v>380400</v>
      </c>
    </row>
    <row r="192" spans="1:13" ht="15">
      <c r="A192" s="351" t="s">
        <v>2357</v>
      </c>
      <c r="B192" s="807"/>
      <c r="C192" s="784"/>
      <c r="D192" s="807"/>
      <c r="E192" s="784"/>
      <c r="F192" s="807"/>
      <c r="G192" s="784"/>
      <c r="H192" s="807"/>
      <c r="I192" s="784"/>
      <c r="J192" s="807"/>
      <c r="K192" s="794"/>
      <c r="L192" s="808">
        <f t="shared" si="41"/>
        <v>0</v>
      </c>
      <c r="M192" s="794">
        <f t="shared" si="41"/>
        <v>0</v>
      </c>
    </row>
    <row r="193" spans="1:13" ht="15">
      <c r="A193" s="351" t="s">
        <v>2358</v>
      </c>
      <c r="B193" s="807"/>
      <c r="C193" s="784"/>
      <c r="D193" s="838">
        <v>20000</v>
      </c>
      <c r="E193" s="784">
        <v>18700</v>
      </c>
      <c r="F193" s="807"/>
      <c r="G193" s="784"/>
      <c r="H193" s="807"/>
      <c r="I193" s="784"/>
      <c r="J193" s="807"/>
      <c r="K193" s="794"/>
      <c r="L193" s="808">
        <f t="shared" si="41"/>
        <v>20000</v>
      </c>
      <c r="M193" s="794">
        <f t="shared" si="41"/>
        <v>18700</v>
      </c>
    </row>
    <row r="194" spans="1:13" ht="15">
      <c r="A194" s="351" t="s">
        <v>2360</v>
      </c>
      <c r="B194" s="807">
        <v>50000</v>
      </c>
      <c r="C194" s="784">
        <v>49050</v>
      </c>
      <c r="D194" s="838">
        <v>20000</v>
      </c>
      <c r="E194" s="784">
        <v>20000</v>
      </c>
      <c r="F194" s="807">
        <v>52700</v>
      </c>
      <c r="G194" s="784">
        <v>52700</v>
      </c>
      <c r="H194" s="807">
        <v>20000</v>
      </c>
      <c r="I194" s="784">
        <v>20000</v>
      </c>
      <c r="J194" s="807"/>
      <c r="K194" s="794"/>
      <c r="L194" s="808">
        <f t="shared" si="41"/>
        <v>142700</v>
      </c>
      <c r="M194" s="794">
        <f t="shared" si="41"/>
        <v>141750</v>
      </c>
    </row>
    <row r="195" spans="1:13" ht="15">
      <c r="A195" s="1713" t="s">
        <v>600</v>
      </c>
      <c r="B195" s="1707">
        <v>40010</v>
      </c>
      <c r="C195" s="1708">
        <v>40006.81</v>
      </c>
      <c r="D195" s="1707"/>
      <c r="E195" s="1708"/>
      <c r="F195" s="1707"/>
      <c r="G195" s="1708"/>
      <c r="H195" s="1707"/>
      <c r="I195" s="1708"/>
      <c r="J195" s="1707"/>
      <c r="K195" s="1705"/>
      <c r="L195" s="1704">
        <f t="shared" si="41"/>
        <v>40010</v>
      </c>
      <c r="M195" s="1705">
        <f t="shared" si="41"/>
        <v>40006.81</v>
      </c>
    </row>
    <row r="196" spans="1:13" ht="15">
      <c r="A196" s="832">
        <v>1001</v>
      </c>
      <c r="B196" s="810">
        <f>SUM(B197:B198)</f>
        <v>102000</v>
      </c>
      <c r="C196" s="810">
        <f t="shared" ref="C196:K196" si="42">SUM(C197:C198)</f>
        <v>101273</v>
      </c>
      <c r="D196" s="810">
        <f t="shared" si="42"/>
        <v>0</v>
      </c>
      <c r="E196" s="810">
        <f t="shared" si="42"/>
        <v>0</v>
      </c>
      <c r="F196" s="810">
        <f t="shared" si="42"/>
        <v>0</v>
      </c>
      <c r="G196" s="810">
        <f t="shared" si="42"/>
        <v>0</v>
      </c>
      <c r="H196" s="810">
        <f t="shared" si="42"/>
        <v>118150</v>
      </c>
      <c r="I196" s="810">
        <f t="shared" si="42"/>
        <v>118143</v>
      </c>
      <c r="J196" s="810">
        <f t="shared" si="42"/>
        <v>0</v>
      </c>
      <c r="K196" s="810">
        <f t="shared" si="42"/>
        <v>0</v>
      </c>
      <c r="L196" s="816">
        <f t="shared" si="41"/>
        <v>220150</v>
      </c>
      <c r="M196" s="811">
        <f t="shared" si="41"/>
        <v>219416</v>
      </c>
    </row>
    <row r="197" spans="1:13" ht="15">
      <c r="A197" s="1457" t="s">
        <v>2463</v>
      </c>
      <c r="B197" s="838"/>
      <c r="C197" s="800"/>
      <c r="D197" s="838"/>
      <c r="E197" s="800"/>
      <c r="F197" s="838"/>
      <c r="G197" s="800"/>
      <c r="H197" s="838"/>
      <c r="I197" s="800"/>
      <c r="J197" s="838"/>
      <c r="K197" s="814"/>
      <c r="L197" s="884">
        <f t="shared" si="41"/>
        <v>0</v>
      </c>
      <c r="M197" s="793">
        <f t="shared" si="41"/>
        <v>0</v>
      </c>
    </row>
    <row r="198" spans="1:13" ht="15">
      <c r="A198" s="1457" t="s">
        <v>1898</v>
      </c>
      <c r="B198" s="838">
        <v>102000</v>
      </c>
      <c r="C198" s="800">
        <v>101273</v>
      </c>
      <c r="D198" s="838"/>
      <c r="E198" s="800"/>
      <c r="F198" s="838"/>
      <c r="G198" s="800"/>
      <c r="H198" s="838">
        <v>118150</v>
      </c>
      <c r="I198" s="800">
        <v>118143</v>
      </c>
      <c r="J198" s="838"/>
      <c r="K198" s="814"/>
      <c r="L198" s="884">
        <f t="shared" si="41"/>
        <v>220150</v>
      </c>
      <c r="M198" s="793">
        <f t="shared" si="41"/>
        <v>219416</v>
      </c>
    </row>
    <row r="199" spans="1:13" ht="15">
      <c r="A199" s="832">
        <v>1101</v>
      </c>
      <c r="B199" s="810">
        <f>SUM(B200:B206)</f>
        <v>0</v>
      </c>
      <c r="C199" s="810">
        <f t="shared" ref="C199:K199" si="43">SUM(C200:C206)</f>
        <v>0</v>
      </c>
      <c r="D199" s="810">
        <f t="shared" si="43"/>
        <v>5000</v>
      </c>
      <c r="E199" s="810">
        <f t="shared" si="43"/>
        <v>4890</v>
      </c>
      <c r="F199" s="810">
        <f t="shared" si="43"/>
        <v>38992</v>
      </c>
      <c r="G199" s="810">
        <f t="shared" si="43"/>
        <v>38992</v>
      </c>
      <c r="H199" s="810">
        <f t="shared" si="43"/>
        <v>0</v>
      </c>
      <c r="I199" s="810">
        <f t="shared" si="43"/>
        <v>0</v>
      </c>
      <c r="J199" s="810">
        <f t="shared" si="43"/>
        <v>0</v>
      </c>
      <c r="K199" s="810">
        <f t="shared" si="43"/>
        <v>0</v>
      </c>
      <c r="L199" s="816">
        <f t="shared" si="41"/>
        <v>43992</v>
      </c>
      <c r="M199" s="811">
        <f t="shared" si="41"/>
        <v>43882</v>
      </c>
    </row>
    <row r="200" spans="1:13" ht="15">
      <c r="A200" s="351" t="s">
        <v>1922</v>
      </c>
      <c r="B200" s="807"/>
      <c r="C200" s="784"/>
      <c r="D200" s="807"/>
      <c r="E200" s="784"/>
      <c r="F200" s="807"/>
      <c r="G200" s="784"/>
      <c r="H200" s="807"/>
      <c r="I200" s="784"/>
      <c r="J200" s="807"/>
      <c r="K200" s="794"/>
      <c r="L200" s="808">
        <f t="shared" si="41"/>
        <v>0</v>
      </c>
      <c r="M200" s="794">
        <f t="shared" si="41"/>
        <v>0</v>
      </c>
    </row>
    <row r="201" spans="1:13" ht="15">
      <c r="A201" s="351" t="s">
        <v>1923</v>
      </c>
      <c r="B201" s="807"/>
      <c r="C201" s="784"/>
      <c r="D201" s="807">
        <v>5000</v>
      </c>
      <c r="E201" s="784">
        <v>4890</v>
      </c>
      <c r="F201" s="807">
        <v>21300</v>
      </c>
      <c r="G201" s="784">
        <v>21300</v>
      </c>
      <c r="H201" s="807"/>
      <c r="I201" s="784"/>
      <c r="J201" s="807"/>
      <c r="K201" s="794"/>
      <c r="L201" s="808">
        <f t="shared" si="41"/>
        <v>26300</v>
      </c>
      <c r="M201" s="794">
        <f t="shared" si="41"/>
        <v>26190</v>
      </c>
    </row>
    <row r="202" spans="1:13" ht="15">
      <c r="A202" s="351" t="s">
        <v>1924</v>
      </c>
      <c r="B202" s="807"/>
      <c r="C202" s="784"/>
      <c r="D202" s="807"/>
      <c r="E202" s="784"/>
      <c r="F202" s="807">
        <v>11512</v>
      </c>
      <c r="G202" s="784">
        <v>11512</v>
      </c>
      <c r="H202" s="807"/>
      <c r="I202" s="784"/>
      <c r="J202" s="807"/>
      <c r="K202" s="794"/>
      <c r="L202" s="808">
        <f t="shared" si="41"/>
        <v>11512</v>
      </c>
      <c r="M202" s="794">
        <f t="shared" si="41"/>
        <v>11512</v>
      </c>
    </row>
    <row r="203" spans="1:13" ht="15">
      <c r="A203" s="351" t="s">
        <v>1925</v>
      </c>
      <c r="B203" s="807"/>
      <c r="C203" s="784"/>
      <c r="D203" s="807"/>
      <c r="E203" s="784"/>
      <c r="F203" s="807"/>
      <c r="G203" s="784"/>
      <c r="H203" s="807"/>
      <c r="I203" s="784"/>
      <c r="J203" s="807"/>
      <c r="K203" s="794"/>
      <c r="L203" s="808">
        <f t="shared" si="41"/>
        <v>0</v>
      </c>
      <c r="M203" s="794">
        <f t="shared" si="41"/>
        <v>0</v>
      </c>
    </row>
    <row r="204" spans="1:13" ht="15">
      <c r="A204" s="351" t="s">
        <v>1926</v>
      </c>
      <c r="B204" s="807"/>
      <c r="C204" s="784"/>
      <c r="D204" s="807"/>
      <c r="E204" s="784"/>
      <c r="F204" s="807">
        <v>6180</v>
      </c>
      <c r="G204" s="784">
        <v>6180</v>
      </c>
      <c r="H204" s="807"/>
      <c r="I204" s="784"/>
      <c r="J204" s="807"/>
      <c r="K204" s="794"/>
      <c r="L204" s="808">
        <f t="shared" si="41"/>
        <v>6180</v>
      </c>
      <c r="M204" s="794">
        <f t="shared" si="41"/>
        <v>6180</v>
      </c>
    </row>
    <row r="205" spans="1:13" ht="15">
      <c r="A205" s="1456" t="s">
        <v>2464</v>
      </c>
      <c r="B205" s="807"/>
      <c r="C205" s="784"/>
      <c r="D205" s="807"/>
      <c r="E205" s="784"/>
      <c r="F205" s="838"/>
      <c r="G205" s="784"/>
      <c r="H205" s="807"/>
      <c r="I205" s="784"/>
      <c r="J205" s="807"/>
      <c r="K205" s="794"/>
      <c r="L205" s="808">
        <f t="shared" si="41"/>
        <v>0</v>
      </c>
      <c r="M205" s="794">
        <f t="shared" si="41"/>
        <v>0</v>
      </c>
    </row>
    <row r="206" spans="1:13" ht="15">
      <c r="A206" s="1456" t="s">
        <v>929</v>
      </c>
      <c r="B206" s="807"/>
      <c r="C206" s="784"/>
      <c r="D206" s="807"/>
      <c r="E206" s="784"/>
      <c r="F206" s="838"/>
      <c r="G206" s="784"/>
      <c r="H206" s="807"/>
      <c r="I206" s="784"/>
      <c r="J206" s="807"/>
      <c r="K206" s="794"/>
      <c r="L206" s="808">
        <f t="shared" si="41"/>
        <v>0</v>
      </c>
      <c r="M206" s="794">
        <f t="shared" si="41"/>
        <v>0</v>
      </c>
    </row>
    <row r="207" spans="1:13" ht="15">
      <c r="A207" s="832">
        <v>1105</v>
      </c>
      <c r="B207" s="810">
        <f>SUM(B208:B214)</f>
        <v>806300</v>
      </c>
      <c r="C207" s="810">
        <f t="shared" ref="C207:K207" si="44">SUM(C208:C214)</f>
        <v>806088.94</v>
      </c>
      <c r="D207" s="810">
        <f t="shared" si="44"/>
        <v>0</v>
      </c>
      <c r="E207" s="810">
        <f t="shared" si="44"/>
        <v>0</v>
      </c>
      <c r="F207" s="810">
        <f t="shared" si="44"/>
        <v>0</v>
      </c>
      <c r="G207" s="810">
        <f t="shared" si="44"/>
        <v>0</v>
      </c>
      <c r="H207" s="810">
        <f t="shared" si="44"/>
        <v>9000</v>
      </c>
      <c r="I207" s="810">
        <f t="shared" si="44"/>
        <v>9000</v>
      </c>
      <c r="J207" s="810">
        <f t="shared" si="44"/>
        <v>0</v>
      </c>
      <c r="K207" s="810">
        <f t="shared" si="44"/>
        <v>0</v>
      </c>
      <c r="L207" s="816">
        <f t="shared" si="41"/>
        <v>815300</v>
      </c>
      <c r="M207" s="811">
        <f t="shared" si="41"/>
        <v>815088.94</v>
      </c>
    </row>
    <row r="208" spans="1:13" ht="15">
      <c r="A208" s="351" t="s">
        <v>2469</v>
      </c>
      <c r="B208" s="807">
        <v>640000</v>
      </c>
      <c r="C208" s="784">
        <v>639788.93999999994</v>
      </c>
      <c r="D208" s="807"/>
      <c r="E208" s="784"/>
      <c r="F208" s="807"/>
      <c r="G208" s="784"/>
      <c r="H208" s="807"/>
      <c r="I208" s="784"/>
      <c r="J208" s="807"/>
      <c r="K208" s="794"/>
      <c r="L208" s="808">
        <f t="shared" si="41"/>
        <v>640000</v>
      </c>
      <c r="M208" s="794">
        <f t="shared" si="41"/>
        <v>639788.93999999994</v>
      </c>
    </row>
    <row r="209" spans="1:13" ht="15">
      <c r="A209" s="351" t="s">
        <v>2470</v>
      </c>
      <c r="B209" s="807"/>
      <c r="C209" s="784"/>
      <c r="D209" s="807"/>
      <c r="E209" s="784"/>
      <c r="F209" s="807"/>
      <c r="G209" s="784"/>
      <c r="H209" s="807">
        <v>9000</v>
      </c>
      <c r="I209" s="784">
        <v>9000</v>
      </c>
      <c r="J209" s="807"/>
      <c r="K209" s="794"/>
      <c r="L209" s="808">
        <f t="shared" si="41"/>
        <v>9000</v>
      </c>
      <c r="M209" s="794">
        <f t="shared" si="41"/>
        <v>9000</v>
      </c>
    </row>
    <row r="210" spans="1:13" ht="15">
      <c r="A210" s="351" t="s">
        <v>2471</v>
      </c>
      <c r="B210" s="807"/>
      <c r="C210" s="784"/>
      <c r="D210" s="807"/>
      <c r="E210" s="784"/>
      <c r="F210" s="807"/>
      <c r="G210" s="784"/>
      <c r="H210" s="807"/>
      <c r="I210" s="784"/>
      <c r="J210" s="807"/>
      <c r="K210" s="794"/>
      <c r="L210" s="808">
        <f t="shared" si="41"/>
        <v>0</v>
      </c>
      <c r="M210" s="794">
        <f t="shared" si="41"/>
        <v>0</v>
      </c>
    </row>
    <row r="211" spans="1:13" ht="15">
      <c r="A211" s="351" t="s">
        <v>2472</v>
      </c>
      <c r="B211" s="807">
        <v>71300</v>
      </c>
      <c r="C211" s="784">
        <v>71300</v>
      </c>
      <c r="D211" s="807"/>
      <c r="E211" s="784"/>
      <c r="F211" s="807"/>
      <c r="G211" s="784"/>
      <c r="H211" s="807"/>
      <c r="I211" s="784"/>
      <c r="J211" s="807"/>
      <c r="K211" s="794"/>
      <c r="L211" s="808">
        <f t="shared" si="41"/>
        <v>71300</v>
      </c>
      <c r="M211" s="794">
        <f t="shared" si="41"/>
        <v>71300</v>
      </c>
    </row>
    <row r="212" spans="1:13" ht="15">
      <c r="A212" s="1456" t="s">
        <v>930</v>
      </c>
      <c r="B212" s="807">
        <v>95000</v>
      </c>
      <c r="C212" s="784">
        <v>95000</v>
      </c>
      <c r="D212" s="807"/>
      <c r="E212" s="784"/>
      <c r="F212" s="807"/>
      <c r="G212" s="784"/>
      <c r="H212" s="807"/>
      <c r="I212" s="784"/>
      <c r="J212" s="807"/>
      <c r="K212" s="794"/>
      <c r="L212" s="808">
        <f t="shared" si="41"/>
        <v>95000</v>
      </c>
      <c r="M212" s="794">
        <f t="shared" si="41"/>
        <v>95000</v>
      </c>
    </row>
    <row r="213" spans="1:13" ht="15">
      <c r="A213" s="1456" t="s">
        <v>931</v>
      </c>
      <c r="B213" s="807"/>
      <c r="C213" s="784"/>
      <c r="D213" s="807"/>
      <c r="E213" s="784"/>
      <c r="F213" s="807"/>
      <c r="G213" s="784"/>
      <c r="H213" s="807"/>
      <c r="I213" s="784"/>
      <c r="J213" s="807"/>
      <c r="K213" s="794"/>
      <c r="L213" s="808">
        <f t="shared" si="41"/>
        <v>0</v>
      </c>
      <c r="M213" s="794">
        <f t="shared" si="41"/>
        <v>0</v>
      </c>
    </row>
    <row r="214" spans="1:13" ht="15">
      <c r="A214" s="1456" t="s">
        <v>932</v>
      </c>
      <c r="B214" s="807"/>
      <c r="C214" s="784"/>
      <c r="D214" s="807"/>
      <c r="E214" s="784">
        <v>0</v>
      </c>
      <c r="F214" s="807"/>
      <c r="G214" s="784"/>
      <c r="H214" s="807"/>
      <c r="I214" s="784"/>
      <c r="J214" s="807"/>
      <c r="K214" s="794"/>
      <c r="L214" s="808">
        <f t="shared" si="41"/>
        <v>0</v>
      </c>
      <c r="M214" s="794">
        <f t="shared" si="41"/>
        <v>0</v>
      </c>
    </row>
    <row r="215" spans="1:13" ht="15">
      <c r="A215" s="831">
        <v>1301</v>
      </c>
      <c r="B215" s="840">
        <f t="shared" ref="B215:G215" si="45">B216</f>
        <v>0</v>
      </c>
      <c r="C215" s="813">
        <f t="shared" si="45"/>
        <v>0</v>
      </c>
      <c r="D215" s="840">
        <f t="shared" si="45"/>
        <v>0</v>
      </c>
      <c r="E215" s="813">
        <f>E216</f>
        <v>0</v>
      </c>
      <c r="F215" s="840">
        <f t="shared" si="45"/>
        <v>0</v>
      </c>
      <c r="G215" s="813">
        <f t="shared" si="45"/>
        <v>0</v>
      </c>
      <c r="H215" s="840">
        <f>H216</f>
        <v>0</v>
      </c>
      <c r="I215" s="813">
        <f>I216</f>
        <v>0</v>
      </c>
      <c r="J215" s="840">
        <f>J216</f>
        <v>0</v>
      </c>
      <c r="K215" s="812">
        <f>K216</f>
        <v>0</v>
      </c>
      <c r="L215" s="816">
        <f t="shared" si="41"/>
        <v>0</v>
      </c>
      <c r="M215" s="811">
        <f t="shared" si="41"/>
        <v>0</v>
      </c>
    </row>
    <row r="216" spans="1:13" ht="15">
      <c r="A216" s="351">
        <v>231</v>
      </c>
      <c r="B216" s="807"/>
      <c r="C216" s="784"/>
      <c r="D216" s="807"/>
      <c r="E216" s="784"/>
      <c r="F216" s="807"/>
      <c r="G216" s="784"/>
      <c r="H216" s="807"/>
      <c r="I216" s="784"/>
      <c r="J216" s="807"/>
      <c r="K216" s="794"/>
      <c r="L216" s="808">
        <f t="shared" si="41"/>
        <v>0</v>
      </c>
      <c r="M216" s="794">
        <f t="shared" si="41"/>
        <v>0</v>
      </c>
    </row>
    <row r="217" spans="1:13" ht="15">
      <c r="A217" s="831">
        <v>1403</v>
      </c>
      <c r="B217" s="840">
        <f>B218</f>
        <v>468523.6</v>
      </c>
      <c r="C217" s="840">
        <f t="shared" ref="C217:K217" si="46">C218</f>
        <v>303325.46000000002</v>
      </c>
      <c r="D217" s="840">
        <f t="shared" si="46"/>
        <v>339050.4</v>
      </c>
      <c r="E217" s="840">
        <f t="shared" si="46"/>
        <v>339050.4</v>
      </c>
      <c r="F217" s="840">
        <f t="shared" si="46"/>
        <v>354539</v>
      </c>
      <c r="G217" s="840">
        <f t="shared" si="46"/>
        <v>354539</v>
      </c>
      <c r="H217" s="840">
        <f t="shared" si="46"/>
        <v>388427</v>
      </c>
      <c r="I217" s="840">
        <f t="shared" si="46"/>
        <v>388426.8</v>
      </c>
      <c r="J217" s="840">
        <f t="shared" si="46"/>
        <v>541249</v>
      </c>
      <c r="K217" s="840">
        <f t="shared" si="46"/>
        <v>541249</v>
      </c>
      <c r="L217" s="816">
        <f t="shared" si="41"/>
        <v>2091789</v>
      </c>
      <c r="M217" s="811">
        <f t="shared" si="41"/>
        <v>1926590.6600000001</v>
      </c>
    </row>
    <row r="218" spans="1:13" ht="15">
      <c r="A218" s="351" t="s">
        <v>558</v>
      </c>
      <c r="B218" s="807">
        <v>468523.6</v>
      </c>
      <c r="C218" s="784">
        <v>303325.46000000002</v>
      </c>
      <c r="D218" s="807">
        <v>339050.4</v>
      </c>
      <c r="E218" s="784">
        <v>339050.4</v>
      </c>
      <c r="F218" s="807">
        <v>354539</v>
      </c>
      <c r="G218" s="784">
        <v>354539</v>
      </c>
      <c r="H218" s="807">
        <v>388427</v>
      </c>
      <c r="I218" s="784">
        <v>388426.8</v>
      </c>
      <c r="J218" s="807">
        <v>541249</v>
      </c>
      <c r="K218" s="794">
        <v>541249</v>
      </c>
      <c r="L218" s="808">
        <f t="shared" si="41"/>
        <v>2091789</v>
      </c>
      <c r="M218" s="794">
        <f t="shared" si="41"/>
        <v>1926590.6600000001</v>
      </c>
    </row>
    <row r="219" spans="1:13" ht="16.5" thickBot="1">
      <c r="A219" s="778" t="s">
        <v>845</v>
      </c>
      <c r="B219" s="842">
        <f t="shared" ref="B219:J219" si="47">B44+B98+B107+B113+B118+B132+B135+B150+B162+B186+B188+B196+B199+B207+B215+B217+B122</f>
        <v>24439646.040000003</v>
      </c>
      <c r="C219" s="879">
        <f t="shared" si="47"/>
        <v>23348068.700000003</v>
      </c>
      <c r="D219" s="842">
        <f t="shared" si="47"/>
        <v>8024177.4000000004</v>
      </c>
      <c r="E219" s="842">
        <f t="shared" si="47"/>
        <v>7007327.379999998</v>
      </c>
      <c r="F219" s="842">
        <f t="shared" si="47"/>
        <v>6393642.04</v>
      </c>
      <c r="G219" s="842">
        <f t="shared" si="47"/>
        <v>6298904.6100000003</v>
      </c>
      <c r="H219" s="842">
        <f t="shared" si="47"/>
        <v>5206237</v>
      </c>
      <c r="I219" s="879">
        <f t="shared" si="47"/>
        <v>5117225.5599999987</v>
      </c>
      <c r="J219" s="842">
        <f t="shared" si="47"/>
        <v>5354736.6899999995</v>
      </c>
      <c r="K219" s="843">
        <f>K44+K98+K107+K113+K118+K132+K135+K150+K162+K186+K188+K196+K199+K207+K215+K217</f>
        <v>5265136.6899999995</v>
      </c>
      <c r="L219" s="895">
        <f t="shared" si="41"/>
        <v>49418439.170000002</v>
      </c>
      <c r="M219" s="817">
        <f t="shared" si="41"/>
        <v>47036662.939999998</v>
      </c>
    </row>
    <row r="220" spans="1:13" ht="16.5" thickBot="1">
      <c r="A220" s="844"/>
      <c r="B220" s="845" t="s">
        <v>1452</v>
      </c>
      <c r="C220" s="854" t="s">
        <v>1453</v>
      </c>
      <c r="D220" s="845" t="s">
        <v>1452</v>
      </c>
      <c r="E220" s="854" t="s">
        <v>1453</v>
      </c>
      <c r="F220" s="845" t="s">
        <v>1452</v>
      </c>
      <c r="G220" s="854" t="s">
        <v>1453</v>
      </c>
      <c r="H220" s="845" t="s">
        <v>1452</v>
      </c>
      <c r="I220" s="854" t="s">
        <v>1453</v>
      </c>
      <c r="J220" s="845" t="s">
        <v>1452</v>
      </c>
      <c r="K220" s="846" t="s">
        <v>1453</v>
      </c>
      <c r="L220" s="896" t="s">
        <v>1452</v>
      </c>
      <c r="M220" s="848" t="s">
        <v>1453</v>
      </c>
    </row>
    <row r="221" spans="1:13" ht="26.25" thickBot="1">
      <c r="A221" s="849" t="s">
        <v>1454</v>
      </c>
      <c r="B221" s="850">
        <f>B217</f>
        <v>468523.6</v>
      </c>
      <c r="C221" s="880">
        <f>C217</f>
        <v>303325.46000000002</v>
      </c>
      <c r="D221" s="850">
        <f>D217</f>
        <v>339050.4</v>
      </c>
      <c r="E221" s="880">
        <f>E218</f>
        <v>339050.4</v>
      </c>
      <c r="F221" s="850">
        <f t="shared" ref="F221:K221" si="48">F217</f>
        <v>354539</v>
      </c>
      <c r="G221" s="880">
        <f t="shared" si="48"/>
        <v>354539</v>
      </c>
      <c r="H221" s="850">
        <f t="shared" si="48"/>
        <v>388427</v>
      </c>
      <c r="I221" s="880">
        <f t="shared" si="48"/>
        <v>388426.8</v>
      </c>
      <c r="J221" s="850">
        <f t="shared" si="48"/>
        <v>541249</v>
      </c>
      <c r="K221" s="851">
        <f t="shared" si="48"/>
        <v>541249</v>
      </c>
      <c r="L221" s="897">
        <f t="shared" ref="L221:M230" si="49">B221+D221+F221+H221+J221</f>
        <v>2091789</v>
      </c>
      <c r="M221" s="852">
        <f t="shared" si="49"/>
        <v>1926590.6600000001</v>
      </c>
    </row>
    <row r="222" spans="1:13" ht="15.75">
      <c r="A222" s="779" t="s">
        <v>1658</v>
      </c>
      <c r="B222" s="821">
        <f t="shared" ref="B222:K222" si="50">B41-B219</f>
        <v>-1484936.3400000073</v>
      </c>
      <c r="C222" s="820">
        <f t="shared" si="50"/>
        <v>-995442.19000000507</v>
      </c>
      <c r="D222" s="821">
        <f t="shared" si="50"/>
        <v>-237077.40000000037</v>
      </c>
      <c r="E222" s="820">
        <f t="shared" si="50"/>
        <v>495715.62000000197</v>
      </c>
      <c r="F222" s="821">
        <f t="shared" si="50"/>
        <v>-1236142.04</v>
      </c>
      <c r="G222" s="820">
        <f t="shared" si="50"/>
        <v>-1162925.6800000006</v>
      </c>
      <c r="H222" s="821">
        <f t="shared" si="50"/>
        <v>-312337</v>
      </c>
      <c r="I222" s="820">
        <f t="shared" si="50"/>
        <v>-260960.2799999984</v>
      </c>
      <c r="J222" s="821">
        <f t="shared" si="50"/>
        <v>-986131.68999999948</v>
      </c>
      <c r="K222" s="819">
        <f t="shared" si="50"/>
        <v>-920220.02999999933</v>
      </c>
      <c r="L222" s="898">
        <f t="shared" si="49"/>
        <v>-4256624.4700000072</v>
      </c>
      <c r="M222" s="818">
        <f t="shared" si="49"/>
        <v>-2843832.5600000015</v>
      </c>
    </row>
    <row r="223" spans="1:13" ht="15">
      <c r="A223" s="780" t="s">
        <v>999</v>
      </c>
      <c r="B223" s="807"/>
      <c r="C223" s="784"/>
      <c r="D223" s="807"/>
      <c r="E223" s="784"/>
      <c r="F223" s="807"/>
      <c r="G223" s="784"/>
      <c r="H223" s="807"/>
      <c r="I223" s="784"/>
      <c r="J223" s="807"/>
      <c r="K223" s="794"/>
      <c r="L223" s="808">
        <f t="shared" si="49"/>
        <v>0</v>
      </c>
      <c r="M223" s="794">
        <f t="shared" si="49"/>
        <v>0</v>
      </c>
    </row>
    <row r="224" spans="1:13" ht="15">
      <c r="A224" s="780" t="s">
        <v>1002</v>
      </c>
      <c r="B224" s="807"/>
      <c r="C224" s="784"/>
      <c r="D224" s="807"/>
      <c r="E224" s="784"/>
      <c r="F224" s="807"/>
      <c r="G224" s="784"/>
      <c r="H224" s="807"/>
      <c r="I224" s="784"/>
      <c r="J224" s="807"/>
      <c r="K224" s="794"/>
      <c r="L224" s="808">
        <f t="shared" si="49"/>
        <v>0</v>
      </c>
      <c r="M224" s="794">
        <f t="shared" si="49"/>
        <v>0</v>
      </c>
    </row>
    <row r="225" spans="1:13" ht="15">
      <c r="A225" s="780" t="s">
        <v>1003</v>
      </c>
      <c r="B225" s="807"/>
      <c r="C225" s="784"/>
      <c r="D225" s="807"/>
      <c r="E225" s="784"/>
      <c r="F225" s="807"/>
      <c r="G225" s="784"/>
      <c r="H225" s="807"/>
      <c r="I225" s="784"/>
      <c r="J225" s="807"/>
      <c r="K225" s="794"/>
      <c r="L225" s="808">
        <f t="shared" si="49"/>
        <v>0</v>
      </c>
      <c r="M225" s="794">
        <f t="shared" si="49"/>
        <v>0</v>
      </c>
    </row>
    <row r="226" spans="1:13" ht="15">
      <c r="A226" s="777"/>
      <c r="B226" s="807"/>
      <c r="C226" s="784"/>
      <c r="D226" s="807"/>
      <c r="E226" s="784"/>
      <c r="F226" s="807"/>
      <c r="G226" s="784"/>
      <c r="H226" s="807"/>
      <c r="I226" s="784"/>
      <c r="J226" s="807"/>
      <c r="K226" s="794"/>
      <c r="L226" s="808">
        <f t="shared" si="49"/>
        <v>0</v>
      </c>
      <c r="M226" s="794">
        <f t="shared" si="49"/>
        <v>0</v>
      </c>
    </row>
    <row r="227" spans="1:13" ht="15">
      <c r="A227" s="914" t="s">
        <v>1004</v>
      </c>
      <c r="B227" s="915">
        <f>B228+B229</f>
        <v>1484936.3400000073</v>
      </c>
      <c r="C227" s="916">
        <f>C228+C229</f>
        <v>995442.19000000507</v>
      </c>
      <c r="D227" s="915">
        <f t="shared" ref="D227:K227" si="51">D228+D229</f>
        <v>237077.40000000037</v>
      </c>
      <c r="E227" s="916">
        <f t="shared" si="51"/>
        <v>-495715.62000000197</v>
      </c>
      <c r="F227" s="915">
        <f>F228+F229</f>
        <v>1236142.04</v>
      </c>
      <c r="G227" s="916">
        <f>G228+G229</f>
        <v>1162925.6800000006</v>
      </c>
      <c r="H227" s="915">
        <f t="shared" si="51"/>
        <v>312337</v>
      </c>
      <c r="I227" s="916">
        <f t="shared" si="51"/>
        <v>260960.2799999984</v>
      </c>
      <c r="J227" s="915">
        <f t="shared" si="51"/>
        <v>986131.68999999948</v>
      </c>
      <c r="K227" s="917">
        <f t="shared" si="51"/>
        <v>920220.02999999933</v>
      </c>
      <c r="L227" s="918">
        <f t="shared" si="49"/>
        <v>4256624.4700000072</v>
      </c>
      <c r="M227" s="917">
        <f t="shared" si="49"/>
        <v>2843832.5600000015</v>
      </c>
    </row>
    <row r="228" spans="1:13" ht="15">
      <c r="A228" s="780" t="s">
        <v>1006</v>
      </c>
      <c r="B228" s="807">
        <f>-(B41+B223+B226)</f>
        <v>-22954709.699999996</v>
      </c>
      <c r="C228" s="784">
        <f>-(C41+C223+C226)+(-353651.45)</f>
        <v>-22706277.959999997</v>
      </c>
      <c r="D228" s="807">
        <f>-(D41+D223+D224)</f>
        <v>-7787100</v>
      </c>
      <c r="E228" s="784">
        <f>-(E41+E223+E226)+(-4092.4)</f>
        <v>-7507135.4000000004</v>
      </c>
      <c r="F228" s="807">
        <f>-(F41+F223+F224)</f>
        <v>-5157500</v>
      </c>
      <c r="G228" s="784">
        <f>-(G41+G223+G226)+(-803.3)</f>
        <v>-5136782.2299999995</v>
      </c>
      <c r="H228" s="807">
        <f>-(H41+H223+H224)</f>
        <v>-4893900</v>
      </c>
      <c r="I228" s="784">
        <f>-(I41+I223+I226)+(-3756.73)</f>
        <v>-4860022.0100000007</v>
      </c>
      <c r="J228" s="807">
        <f>-(J41+J223+J224)</f>
        <v>-4368605</v>
      </c>
      <c r="K228" s="794">
        <f>-(K41+K223+K226)</f>
        <v>-4344916.66</v>
      </c>
      <c r="L228" s="808">
        <f t="shared" si="49"/>
        <v>-45161814.699999996</v>
      </c>
      <c r="M228" s="794">
        <f t="shared" si="49"/>
        <v>-44555134.25999999</v>
      </c>
    </row>
    <row r="229" spans="1:13" ht="15">
      <c r="A229" s="780" t="s">
        <v>1008</v>
      </c>
      <c r="B229" s="807">
        <f>(B219-B225)</f>
        <v>24439646.040000003</v>
      </c>
      <c r="C229" s="784">
        <f>(C219-C225)+353651.45</f>
        <v>23701720.150000002</v>
      </c>
      <c r="D229" s="807">
        <f>D219-D225</f>
        <v>8024177.4000000004</v>
      </c>
      <c r="E229" s="784">
        <f>E219-E225+4092.4</f>
        <v>7011419.7799999984</v>
      </c>
      <c r="F229" s="807">
        <f t="shared" ref="F229:K229" si="52">F219-F225</f>
        <v>6393642.04</v>
      </c>
      <c r="G229" s="784">
        <f>G219-G225+803.3</f>
        <v>6299707.9100000001</v>
      </c>
      <c r="H229" s="807">
        <f t="shared" si="52"/>
        <v>5206237</v>
      </c>
      <c r="I229" s="784">
        <f>I219-I225+3756.73</f>
        <v>5120982.2899999991</v>
      </c>
      <c r="J229" s="807">
        <f t="shared" si="52"/>
        <v>5354736.6899999995</v>
      </c>
      <c r="K229" s="794">
        <f t="shared" si="52"/>
        <v>5265136.6899999995</v>
      </c>
      <c r="L229" s="808">
        <f t="shared" si="49"/>
        <v>49418439.170000002</v>
      </c>
      <c r="M229" s="794">
        <f t="shared" si="49"/>
        <v>47398966.82</v>
      </c>
    </row>
    <row r="230" spans="1:13" ht="15">
      <c r="A230" s="777"/>
      <c r="B230" s="807"/>
      <c r="C230" s="784"/>
      <c r="D230" s="807"/>
      <c r="E230" s="784"/>
      <c r="F230" s="807">
        <v>1</v>
      </c>
      <c r="G230" s="823"/>
      <c r="H230" s="807"/>
      <c r="I230" s="784"/>
      <c r="J230" s="807"/>
      <c r="K230" s="794"/>
      <c r="L230" s="808">
        <f t="shared" si="49"/>
        <v>1</v>
      </c>
      <c r="M230" s="794">
        <f t="shared" si="49"/>
        <v>0</v>
      </c>
    </row>
    <row r="231" spans="1:13" ht="15.75">
      <c r="A231" s="827" t="s">
        <v>1665</v>
      </c>
      <c r="B231" s="821">
        <f t="shared" ref="B231:K231" si="53">B223+B224+B225+B227</f>
        <v>1484936.3400000073</v>
      </c>
      <c r="C231" s="820">
        <f t="shared" si="53"/>
        <v>995442.19000000507</v>
      </c>
      <c r="D231" s="876">
        <f t="shared" si="53"/>
        <v>237077.40000000037</v>
      </c>
      <c r="E231" s="820">
        <f t="shared" si="53"/>
        <v>-495715.62000000197</v>
      </c>
      <c r="F231" s="821">
        <f t="shared" si="53"/>
        <v>1236142.04</v>
      </c>
      <c r="G231" s="820">
        <f t="shared" si="53"/>
        <v>1162925.6800000006</v>
      </c>
      <c r="H231" s="821">
        <f t="shared" si="53"/>
        <v>312337</v>
      </c>
      <c r="I231" s="820">
        <f t="shared" si="53"/>
        <v>260960.2799999984</v>
      </c>
      <c r="J231" s="821">
        <f t="shared" si="53"/>
        <v>986131.68999999948</v>
      </c>
      <c r="K231" s="819">
        <f t="shared" si="53"/>
        <v>920220.02999999933</v>
      </c>
      <c r="L231" s="899">
        <f>B231+D231+F231+H231+J231</f>
        <v>4256624.4700000072</v>
      </c>
      <c r="M231" s="819">
        <f>M223+M224+M225+M227</f>
        <v>2843832.5600000015</v>
      </c>
    </row>
    <row r="232" spans="1:13" ht="15.75">
      <c r="A232" s="853"/>
      <c r="B232" s="845" t="s">
        <v>1452</v>
      </c>
      <c r="C232" s="854" t="s">
        <v>1453</v>
      </c>
      <c r="D232" s="845" t="s">
        <v>1452</v>
      </c>
      <c r="E232" s="854" t="s">
        <v>1453</v>
      </c>
      <c r="F232" s="845" t="s">
        <v>1452</v>
      </c>
      <c r="G232" s="854" t="s">
        <v>1453</v>
      </c>
      <c r="H232" s="845" t="s">
        <v>1452</v>
      </c>
      <c r="I232" s="854" t="s">
        <v>1453</v>
      </c>
      <c r="J232" s="845" t="s">
        <v>1452</v>
      </c>
      <c r="K232" s="846" t="s">
        <v>1453</v>
      </c>
      <c r="L232" s="900" t="s">
        <v>1452</v>
      </c>
      <c r="M232" s="855" t="s">
        <v>1453</v>
      </c>
    </row>
    <row r="233" spans="1:13" ht="15">
      <c r="A233" s="856" t="s">
        <v>1006</v>
      </c>
      <c r="B233" s="857">
        <f t="shared" ref="B233:I233" si="54">-B43</f>
        <v>-2487000</v>
      </c>
      <c r="C233" s="881">
        <f t="shared" si="54"/>
        <v>-2487000</v>
      </c>
      <c r="D233" s="857">
        <f t="shared" si="54"/>
        <v>-854000</v>
      </c>
      <c r="E233" s="881">
        <f t="shared" si="54"/>
        <v>-854000</v>
      </c>
      <c r="F233" s="857">
        <f t="shared" si="54"/>
        <v>-673000</v>
      </c>
      <c r="G233" s="881">
        <f t="shared" si="54"/>
        <v>-673000</v>
      </c>
      <c r="H233" s="857">
        <f t="shared" si="54"/>
        <v>-317000</v>
      </c>
      <c r="I233" s="881">
        <f t="shared" si="54"/>
        <v>-317000</v>
      </c>
      <c r="J233" s="857">
        <f>J43</f>
        <v>407400</v>
      </c>
      <c r="K233" s="858">
        <f>-K43</f>
        <v>-407400</v>
      </c>
      <c r="L233" s="859">
        <f>B233+D233+F233+H233+J233</f>
        <v>-3923600</v>
      </c>
      <c r="M233" s="858">
        <f>C233+E233+G233+I233+K233</f>
        <v>-4738400</v>
      </c>
    </row>
    <row r="234" spans="1:13" ht="15">
      <c r="A234" s="856" t="s">
        <v>1008</v>
      </c>
      <c r="B234" s="857">
        <f t="shared" ref="B234:K234" si="55">B221</f>
        <v>468523.6</v>
      </c>
      <c r="C234" s="881">
        <f t="shared" si="55"/>
        <v>303325.46000000002</v>
      </c>
      <c r="D234" s="857">
        <f t="shared" si="55"/>
        <v>339050.4</v>
      </c>
      <c r="E234" s="881">
        <f t="shared" si="55"/>
        <v>339050.4</v>
      </c>
      <c r="F234" s="857">
        <f t="shared" si="55"/>
        <v>354539</v>
      </c>
      <c r="G234" s="881">
        <f t="shared" si="55"/>
        <v>354539</v>
      </c>
      <c r="H234" s="857">
        <f t="shared" si="55"/>
        <v>388427</v>
      </c>
      <c r="I234" s="881">
        <f t="shared" si="55"/>
        <v>388426.8</v>
      </c>
      <c r="J234" s="857">
        <f t="shared" si="55"/>
        <v>541249</v>
      </c>
      <c r="K234" s="858">
        <f t="shared" si="55"/>
        <v>541249</v>
      </c>
      <c r="L234" s="859">
        <f>B234+D234+F234+H234+J234</f>
        <v>2091789</v>
      </c>
      <c r="M234" s="858">
        <f>C234+E234+G234+I234+K234</f>
        <v>1926590.6600000001</v>
      </c>
    </row>
    <row r="235" spans="1:13" ht="15">
      <c r="A235" s="352"/>
      <c r="B235" s="2645" t="s">
        <v>1280</v>
      </c>
      <c r="C235" s="2650"/>
      <c r="D235" s="2645" t="s">
        <v>1281</v>
      </c>
      <c r="E235" s="2650"/>
      <c r="F235" s="2645" t="s">
        <v>1282</v>
      </c>
      <c r="G235" s="2650"/>
      <c r="H235" s="2645" t="s">
        <v>1283</v>
      </c>
      <c r="I235" s="2650"/>
      <c r="J235" s="2645" t="s">
        <v>1284</v>
      </c>
      <c r="K235" s="2646"/>
      <c r="L235" s="822" t="s">
        <v>36</v>
      </c>
      <c r="M235" s="785" t="s">
        <v>844</v>
      </c>
    </row>
    <row r="236" spans="1:13" ht="15">
      <c r="A236" s="352"/>
      <c r="B236" s="787" t="s">
        <v>1450</v>
      </c>
      <c r="C236" s="877" t="s">
        <v>1451</v>
      </c>
      <c r="D236" s="787" t="s">
        <v>1450</v>
      </c>
      <c r="E236" s="877" t="s">
        <v>1451</v>
      </c>
      <c r="F236" s="787" t="s">
        <v>1450</v>
      </c>
      <c r="G236" s="877" t="s">
        <v>1451</v>
      </c>
      <c r="H236" s="787" t="s">
        <v>1450</v>
      </c>
      <c r="I236" s="877" t="s">
        <v>1451</v>
      </c>
      <c r="J236" s="787" t="s">
        <v>1450</v>
      </c>
      <c r="K236" s="786" t="s">
        <v>1451</v>
      </c>
      <c r="L236" s="837" t="s">
        <v>1450</v>
      </c>
      <c r="M236" s="786" t="s">
        <v>1451</v>
      </c>
    </row>
    <row r="237" spans="1:13" ht="15">
      <c r="A237" s="919"/>
      <c r="B237" s="915"/>
      <c r="C237" s="916">
        <f>C239-C238</f>
        <v>995442.19000000006</v>
      </c>
      <c r="D237" s="915"/>
      <c r="E237" s="920">
        <f>E239-E238</f>
        <v>-495715.62</v>
      </c>
      <c r="F237" s="915"/>
      <c r="G237" s="916">
        <f>G239-G238</f>
        <v>1162925.68</v>
      </c>
      <c r="H237" s="915"/>
      <c r="I237" s="916">
        <f>I239-I238</f>
        <v>257147.28000000026</v>
      </c>
      <c r="J237" s="915"/>
      <c r="K237" s="917">
        <f>K239-K238</f>
        <v>920220.03</v>
      </c>
      <c r="L237" s="918"/>
      <c r="M237" s="917">
        <f>C237+E237+G237+I237+K237</f>
        <v>2840019.5600000005</v>
      </c>
    </row>
    <row r="238" spans="1:13" ht="25.5">
      <c r="A238" s="863" t="s">
        <v>1666</v>
      </c>
      <c r="B238" s="860"/>
      <c r="C238" s="864">
        <v>489494.15</v>
      </c>
      <c r="D238" s="860"/>
      <c r="E238" s="864">
        <v>1163425.3</v>
      </c>
      <c r="F238" s="860"/>
      <c r="G238" s="864">
        <v>89256.01</v>
      </c>
      <c r="H238" s="860"/>
      <c r="I238" s="864">
        <v>2323009.63</v>
      </c>
      <c r="J238" s="860"/>
      <c r="K238" s="861">
        <v>52500.76</v>
      </c>
      <c r="L238" s="862"/>
      <c r="M238" s="861">
        <f>C238+E238+G238+I238+K238</f>
        <v>4117685.8499999996</v>
      </c>
    </row>
    <row r="239" spans="1:13" ht="15">
      <c r="A239" s="865" t="s">
        <v>1029</v>
      </c>
      <c r="B239" s="866"/>
      <c r="C239" s="869">
        <v>1484936.34</v>
      </c>
      <c r="D239" s="866"/>
      <c r="E239" s="869">
        <v>667709.68000000005</v>
      </c>
      <c r="F239" s="866"/>
      <c r="G239" s="869">
        <v>1252181.69</v>
      </c>
      <c r="H239" s="866"/>
      <c r="I239" s="869">
        <v>2580156.91</v>
      </c>
      <c r="J239" s="866"/>
      <c r="K239" s="867">
        <v>972720.79</v>
      </c>
      <c r="L239" s="868"/>
      <c r="M239" s="861">
        <f>C239+E239+G239+I239+K239</f>
        <v>6957705.4100000001</v>
      </c>
    </row>
    <row r="240" spans="1:13" ht="15.75" thickBot="1">
      <c r="A240" s="870" t="s">
        <v>782</v>
      </c>
      <c r="B240" s="871"/>
      <c r="C240" s="874"/>
      <c r="D240" s="871"/>
      <c r="E240" s="874"/>
      <c r="F240" s="871"/>
      <c r="G240" s="874"/>
      <c r="H240" s="871"/>
      <c r="I240" s="874"/>
      <c r="J240" s="871"/>
      <c r="K240" s="872"/>
      <c r="L240" s="873"/>
      <c r="M240" s="875">
        <f>C240+E240+G240+I240+K240</f>
        <v>0</v>
      </c>
    </row>
  </sheetData>
  <mergeCells count="26">
    <mergeCell ref="H1:I1"/>
    <mergeCell ref="J1:K1"/>
    <mergeCell ref="B59:C59"/>
    <mergeCell ref="D59:E59"/>
    <mergeCell ref="F59:G59"/>
    <mergeCell ref="F127:G127"/>
    <mergeCell ref="L1:M1"/>
    <mergeCell ref="B2:C2"/>
    <mergeCell ref="D2:E2"/>
    <mergeCell ref="F2:G2"/>
    <mergeCell ref="H2:I2"/>
    <mergeCell ref="B1:C1"/>
    <mergeCell ref="D1:E1"/>
    <mergeCell ref="J2:K2"/>
    <mergeCell ref="J59:K59"/>
    <mergeCell ref="H127:I127"/>
    <mergeCell ref="H59:I59"/>
    <mergeCell ref="J127:K127"/>
    <mergeCell ref="B127:C127"/>
    <mergeCell ref="D127:E127"/>
    <mergeCell ref="F1:G1"/>
    <mergeCell ref="B235:C235"/>
    <mergeCell ref="D235:E235"/>
    <mergeCell ref="F235:G235"/>
    <mergeCell ref="H235:I235"/>
    <mergeCell ref="J235:K235"/>
  </mergeCells>
  <phoneticPr fontId="0" type="noConversion"/>
  <pageMargins left="0.31496062992125984" right="0.31496062992125984" top="0.51181102362204722" bottom="0.19685039370078741" header="0.51181102362204722" footer="0.19685039370078741"/>
  <pageSetup paperSize="9" scale="66" fitToHeight="0"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Лист7" enableFormatConditionsCalculation="0">
    <tabColor indexed="11"/>
  </sheetPr>
  <dimension ref="A1:J676"/>
  <sheetViews>
    <sheetView topLeftCell="A168" zoomScale="68" zoomScaleNormal="68" workbookViewId="0">
      <selection activeCell="K157" sqref="K157"/>
    </sheetView>
  </sheetViews>
  <sheetFormatPr defaultRowHeight="11.25"/>
  <cols>
    <col min="1" max="1" width="6.1640625" customWidth="1"/>
    <col min="2" max="2" width="54.83203125" customWidth="1"/>
    <col min="3" max="3" width="37.6640625" customWidth="1"/>
    <col min="4" max="4" width="24" customWidth="1"/>
    <col min="5" max="5" width="24.83203125" customWidth="1"/>
    <col min="6" max="6" width="23.6640625" customWidth="1"/>
    <col min="7" max="7" width="26" customWidth="1"/>
    <col min="8" max="8" width="24.1640625" customWidth="1"/>
    <col min="9" max="9" width="23.83203125" customWidth="1"/>
    <col min="10" max="10" width="20" customWidth="1"/>
  </cols>
  <sheetData>
    <row r="1" spans="1:9" ht="15">
      <c r="A1" s="1"/>
      <c r="B1" s="2655" t="s">
        <v>984</v>
      </c>
      <c r="C1" s="2655"/>
      <c r="D1" s="2655"/>
      <c r="E1" s="2655"/>
      <c r="F1" s="2655"/>
      <c r="G1" s="2655"/>
      <c r="H1" s="2656"/>
      <c r="I1" s="66" t="s">
        <v>977</v>
      </c>
    </row>
    <row r="2" spans="1:9" ht="12.75">
      <c r="A2" s="1"/>
      <c r="B2" s="2701" t="s">
        <v>252</v>
      </c>
      <c r="C2" s="2701"/>
      <c r="D2" s="2701"/>
      <c r="E2" s="2701"/>
      <c r="F2" s="2701"/>
      <c r="G2" s="2666" t="s">
        <v>979</v>
      </c>
      <c r="H2" s="2667"/>
      <c r="I2" s="67" t="s">
        <v>978</v>
      </c>
    </row>
    <row r="3" spans="1:9" ht="12.75">
      <c r="A3" s="1"/>
      <c r="B3" s="4" t="s">
        <v>986</v>
      </c>
      <c r="H3" s="71" t="s">
        <v>987</v>
      </c>
      <c r="I3" s="68">
        <v>39609</v>
      </c>
    </row>
    <row r="4" spans="1:9" ht="15">
      <c r="B4" s="5" t="s">
        <v>975</v>
      </c>
      <c r="C4" s="77" t="s">
        <v>772</v>
      </c>
      <c r="D4" s="5"/>
      <c r="E4" s="6"/>
      <c r="F4" s="6"/>
      <c r="G4" s="6"/>
      <c r="H4" s="6"/>
      <c r="I4" s="69"/>
    </row>
    <row r="5" spans="1:9" ht="12.75">
      <c r="B5" s="2657" t="s">
        <v>985</v>
      </c>
      <c r="C5" s="2657"/>
      <c r="D5" s="2657"/>
      <c r="E5" s="2657"/>
      <c r="F5" s="2657"/>
      <c r="G5" s="2657"/>
      <c r="H5" s="2657"/>
      <c r="I5" s="69"/>
    </row>
    <row r="6" spans="1:9" ht="12.75">
      <c r="B6" s="5" t="s">
        <v>980</v>
      </c>
      <c r="C6" s="5"/>
      <c r="E6" t="s">
        <v>72</v>
      </c>
      <c r="H6" s="71" t="s">
        <v>981</v>
      </c>
      <c r="I6" s="69"/>
    </row>
    <row r="7" spans="1:9" ht="13.5" thickBot="1">
      <c r="B7" s="5" t="s">
        <v>976</v>
      </c>
      <c r="C7" s="5"/>
      <c r="H7" s="71" t="s">
        <v>982</v>
      </c>
      <c r="I7" s="70">
        <v>383</v>
      </c>
    </row>
    <row r="8" spans="1:9" ht="12.75">
      <c r="A8" s="44"/>
      <c r="B8" s="2702" t="s">
        <v>74</v>
      </c>
      <c r="C8" s="2660" t="s">
        <v>216</v>
      </c>
      <c r="D8" s="2662" t="s">
        <v>2043</v>
      </c>
      <c r="E8" s="2663"/>
      <c r="F8" s="2664"/>
      <c r="G8" s="2662" t="s">
        <v>1016</v>
      </c>
      <c r="H8" s="2663"/>
      <c r="I8" s="2664"/>
    </row>
    <row r="9" spans="1:9" ht="51">
      <c r="A9" s="235"/>
      <c r="B9" s="2680"/>
      <c r="C9" s="2661"/>
      <c r="D9" s="50" t="s">
        <v>2075</v>
      </c>
      <c r="E9" s="51" t="s">
        <v>1018</v>
      </c>
      <c r="F9" s="52" t="s">
        <v>1021</v>
      </c>
      <c r="G9" s="50" t="s">
        <v>2075</v>
      </c>
      <c r="H9" s="51" t="s">
        <v>2077</v>
      </c>
      <c r="I9" s="52" t="s">
        <v>1021</v>
      </c>
    </row>
    <row r="10" spans="1:9" ht="12.75">
      <c r="A10" s="235"/>
      <c r="B10" s="267"/>
      <c r="C10" s="53"/>
      <c r="D10" s="56" t="s">
        <v>840</v>
      </c>
      <c r="E10" s="56">
        <v>9</v>
      </c>
      <c r="F10" s="57">
        <v>10</v>
      </c>
      <c r="G10" s="56" t="s">
        <v>841</v>
      </c>
      <c r="H10" s="56">
        <v>17</v>
      </c>
      <c r="I10" s="57">
        <v>18</v>
      </c>
    </row>
    <row r="11" spans="1:9" ht="16.5">
      <c r="A11" s="12"/>
      <c r="B11" s="268" t="s">
        <v>217</v>
      </c>
      <c r="C11" s="28" t="s">
        <v>199</v>
      </c>
      <c r="D11" s="78" t="e">
        <f>E11+F11</f>
        <v>#REF!</v>
      </c>
      <c r="E11" s="79" t="e">
        <f>SUM(E12:E61)</f>
        <v>#REF!</v>
      </c>
      <c r="F11" s="79" t="e">
        <f>SUM(F12:F61)</f>
        <v>#REF!</v>
      </c>
      <c r="G11" s="78" t="e">
        <f>H11+I11</f>
        <v>#REF!</v>
      </c>
      <c r="H11" s="79" t="e">
        <f>SUM(H12:H61)</f>
        <v>#REF!</v>
      </c>
      <c r="I11" s="79" t="e">
        <f>SUM(I12:I61)</f>
        <v>#REF!</v>
      </c>
    </row>
    <row r="12" spans="1:9" ht="51.75">
      <c r="A12" s="275">
        <v>1</v>
      </c>
      <c r="B12" s="18" t="s">
        <v>1030</v>
      </c>
      <c r="C12" s="54" t="s">
        <v>2184</v>
      </c>
      <c r="D12" s="80">
        <f>E12+F12</f>
        <v>30806900</v>
      </c>
      <c r="E12" s="81">
        <f>gog!D12</f>
        <v>22689900</v>
      </c>
      <c r="F12" s="82">
        <f>gog!E12</f>
        <v>8117000</v>
      </c>
      <c r="G12" s="80">
        <f t="shared" ref="G12:G85" si="0">H12+I12</f>
        <v>6775400.5100000007</v>
      </c>
      <c r="H12" s="81">
        <f>gog!G12</f>
        <v>5132534.9800000004</v>
      </c>
      <c r="I12" s="82">
        <f>gog!H12</f>
        <v>1642865.53</v>
      </c>
    </row>
    <row r="13" spans="1:9" ht="102.75">
      <c r="A13" s="275">
        <v>2</v>
      </c>
      <c r="B13" s="18" t="s">
        <v>1031</v>
      </c>
      <c r="C13" s="54" t="s">
        <v>2185</v>
      </c>
      <c r="D13" s="80">
        <f t="shared" ref="D13:D85" si="1">E13+F13</f>
        <v>27000</v>
      </c>
      <c r="E13" s="81">
        <f>gog!D13</f>
        <v>20500</v>
      </c>
      <c r="F13" s="82">
        <f>gog!E13</f>
        <v>6500</v>
      </c>
      <c r="G13" s="80">
        <f t="shared" si="0"/>
        <v>5168.22</v>
      </c>
      <c r="H13" s="81">
        <f>gog!G13</f>
        <v>3915.32</v>
      </c>
      <c r="I13" s="82">
        <f>gog!H13</f>
        <v>1252.9000000000001</v>
      </c>
    </row>
    <row r="14" spans="1:9" ht="102.75">
      <c r="A14" s="275">
        <v>3</v>
      </c>
      <c r="B14" s="18" t="s">
        <v>1032</v>
      </c>
      <c r="C14" s="54" t="s">
        <v>2186</v>
      </c>
      <c r="D14" s="80">
        <f t="shared" si="1"/>
        <v>0</v>
      </c>
      <c r="E14" s="81">
        <f>gog!D14</f>
        <v>0</v>
      </c>
      <c r="F14" s="82">
        <f>gog!E14</f>
        <v>0</v>
      </c>
      <c r="G14" s="80">
        <f t="shared" si="0"/>
        <v>0</v>
      </c>
      <c r="H14" s="81">
        <f>gog!G14</f>
        <v>0</v>
      </c>
      <c r="I14" s="82">
        <f>gog!H14</f>
        <v>0</v>
      </c>
    </row>
    <row r="15" spans="1:9" ht="51.75">
      <c r="A15" s="275">
        <v>4</v>
      </c>
      <c r="B15" s="18" t="s">
        <v>1033</v>
      </c>
      <c r="C15" s="54" t="s">
        <v>2187</v>
      </c>
      <c r="D15" s="80">
        <f t="shared" si="1"/>
        <v>10400</v>
      </c>
      <c r="E15" s="81">
        <f>gog!D15</f>
        <v>7900</v>
      </c>
      <c r="F15" s="82">
        <f>gog!E15</f>
        <v>2500</v>
      </c>
      <c r="G15" s="80">
        <f t="shared" si="0"/>
        <v>20474.03</v>
      </c>
      <c r="H15" s="81">
        <f>gog!G15</f>
        <v>15510.63</v>
      </c>
      <c r="I15" s="82">
        <f>gog!H15</f>
        <v>4963.3999999999996</v>
      </c>
    </row>
    <row r="16" spans="1:9" ht="242.25">
      <c r="A16" s="275">
        <v>5</v>
      </c>
      <c r="B16" s="269" t="s">
        <v>1270</v>
      </c>
      <c r="C16" s="54" t="s">
        <v>2188</v>
      </c>
      <c r="D16" s="80">
        <f t="shared" si="1"/>
        <v>0</v>
      </c>
      <c r="E16" s="81">
        <f>gog!D16</f>
        <v>0</v>
      </c>
      <c r="F16" s="82">
        <f>gog!E16</f>
        <v>0</v>
      </c>
      <c r="G16" s="80">
        <f t="shared" si="0"/>
        <v>0</v>
      </c>
      <c r="H16" s="81">
        <f>gog!G16</f>
        <v>0</v>
      </c>
      <c r="I16" s="82">
        <f>gog!H16</f>
        <v>0</v>
      </c>
    </row>
    <row r="17" spans="1:10" ht="77.25">
      <c r="A17" s="275">
        <v>6</v>
      </c>
      <c r="B17" s="270" t="s">
        <v>237</v>
      </c>
      <c r="C17" s="54" t="s">
        <v>2189</v>
      </c>
      <c r="D17" s="80">
        <f t="shared" si="1"/>
        <v>0</v>
      </c>
      <c r="E17" s="81">
        <f>gog!D17</f>
        <v>0</v>
      </c>
      <c r="F17" s="82">
        <f>gog!E17</f>
        <v>0</v>
      </c>
      <c r="G17" s="80">
        <f t="shared" si="0"/>
        <v>0</v>
      </c>
      <c r="H17" s="81">
        <f>gog!G17</f>
        <v>0</v>
      </c>
      <c r="I17" s="82">
        <f>gog!H17</f>
        <v>0</v>
      </c>
      <c r="J17" s="547"/>
    </row>
    <row r="18" spans="1:10" ht="39">
      <c r="A18" s="275">
        <v>7</v>
      </c>
      <c r="B18" s="18" t="s">
        <v>1272</v>
      </c>
      <c r="C18" s="54" t="s">
        <v>2191</v>
      </c>
      <c r="D18" s="80">
        <f t="shared" si="1"/>
        <v>0</v>
      </c>
      <c r="E18" s="81">
        <f>gog!D22</f>
        <v>0</v>
      </c>
      <c r="F18" s="82">
        <f>gog!E22</f>
        <v>0</v>
      </c>
      <c r="G18" s="80">
        <f t="shared" si="0"/>
        <v>0</v>
      </c>
      <c r="H18" s="81">
        <f>gog!G22</f>
        <v>0</v>
      </c>
      <c r="I18" s="82">
        <f>gog!H22</f>
        <v>0</v>
      </c>
    </row>
    <row r="19" spans="1:10" ht="39">
      <c r="A19" s="275">
        <v>8</v>
      </c>
      <c r="B19" s="18" t="s">
        <v>1276</v>
      </c>
      <c r="C19" s="54" t="s">
        <v>14</v>
      </c>
      <c r="D19" s="80">
        <f t="shared" si="1"/>
        <v>0</v>
      </c>
      <c r="E19" s="81">
        <f>gog!D24</f>
        <v>0</v>
      </c>
      <c r="F19" s="82">
        <f>gog!E24</f>
        <v>0</v>
      </c>
      <c r="G19" s="80">
        <f t="shared" si="0"/>
        <v>0</v>
      </c>
      <c r="H19" s="81">
        <f>gog!G24</f>
        <v>0</v>
      </c>
      <c r="I19" s="82">
        <f>gog!H24</f>
        <v>0</v>
      </c>
    </row>
    <row r="20" spans="1:10" ht="26.25">
      <c r="A20" s="275">
        <v>9</v>
      </c>
      <c r="B20" s="18" t="s">
        <v>238</v>
      </c>
      <c r="C20" s="54" t="s">
        <v>15</v>
      </c>
      <c r="D20" s="80">
        <f t="shared" si="1"/>
        <v>2385000</v>
      </c>
      <c r="E20" s="81">
        <f>gog!D26</f>
        <v>2385000</v>
      </c>
      <c r="F20" s="82">
        <f>gog!E26</f>
        <v>0</v>
      </c>
      <c r="G20" s="80">
        <f t="shared" si="0"/>
        <v>539146.29</v>
      </c>
      <c r="H20" s="81">
        <f>gog!G26</f>
        <v>539146.29</v>
      </c>
      <c r="I20" s="82">
        <f>gog!H26</f>
        <v>0</v>
      </c>
      <c r="J20" s="547"/>
    </row>
    <row r="21" spans="1:10" ht="51.75">
      <c r="A21" s="275">
        <v>10</v>
      </c>
      <c r="B21" s="18" t="s">
        <v>1277</v>
      </c>
      <c r="C21" s="54" t="s">
        <v>2195</v>
      </c>
      <c r="D21" s="80">
        <f t="shared" si="1"/>
        <v>0</v>
      </c>
      <c r="E21" s="81">
        <f>gog!D28</f>
        <v>0</v>
      </c>
      <c r="F21" s="82">
        <f>gog!E28</f>
        <v>0</v>
      </c>
      <c r="G21" s="80">
        <f t="shared" si="0"/>
        <v>25104.93</v>
      </c>
      <c r="H21" s="81">
        <f>gog!G28</f>
        <v>0</v>
      </c>
      <c r="I21" s="82">
        <f>gog!H28</f>
        <v>25104.93</v>
      </c>
    </row>
    <row r="22" spans="1:10" ht="16.5">
      <c r="A22" s="275">
        <v>11</v>
      </c>
      <c r="B22" s="18" t="s">
        <v>1278</v>
      </c>
      <c r="C22" s="54" t="s">
        <v>2192</v>
      </c>
      <c r="D22" s="80">
        <f t="shared" si="1"/>
        <v>0</v>
      </c>
      <c r="E22" s="81">
        <f>gog!D29</f>
        <v>0</v>
      </c>
      <c r="F22" s="82">
        <f>gog!E29</f>
        <v>0</v>
      </c>
      <c r="G22" s="80">
        <f t="shared" si="0"/>
        <v>0</v>
      </c>
      <c r="H22" s="81">
        <f>gog!G29</f>
        <v>0</v>
      </c>
      <c r="I22" s="82">
        <f>gog!H29</f>
        <v>0</v>
      </c>
    </row>
    <row r="23" spans="1:10" ht="16.5">
      <c r="A23" s="275">
        <v>12</v>
      </c>
      <c r="B23" s="271" t="s">
        <v>1279</v>
      </c>
      <c r="C23" s="54" t="s">
        <v>2193</v>
      </c>
      <c r="D23" s="80">
        <f t="shared" si="1"/>
        <v>712000</v>
      </c>
      <c r="E23" s="81">
        <f>gog!D30</f>
        <v>0</v>
      </c>
      <c r="F23" s="82">
        <f>gog!E30</f>
        <v>712000</v>
      </c>
      <c r="G23" s="80">
        <f t="shared" si="0"/>
        <v>0</v>
      </c>
      <c r="H23" s="81">
        <f>gog!G30</f>
        <v>0</v>
      </c>
      <c r="I23" s="82">
        <f>gog!H30</f>
        <v>0</v>
      </c>
    </row>
    <row r="24" spans="1:10" ht="77.25">
      <c r="A24" s="275">
        <v>13</v>
      </c>
      <c r="B24" s="18" t="s">
        <v>1286</v>
      </c>
      <c r="C24" s="54" t="s">
        <v>2194</v>
      </c>
      <c r="D24" s="80">
        <f t="shared" si="1"/>
        <v>218000</v>
      </c>
      <c r="E24" s="81">
        <f>gog!D31</f>
        <v>0</v>
      </c>
      <c r="F24" s="82">
        <f>gog!E31</f>
        <v>218000</v>
      </c>
      <c r="G24" s="80">
        <f t="shared" si="0"/>
        <v>193100.61</v>
      </c>
      <c r="H24" s="81">
        <f>gog!G31</f>
        <v>0</v>
      </c>
      <c r="I24" s="82">
        <f>gog!H31</f>
        <v>193100.61</v>
      </c>
    </row>
    <row r="25" spans="1:10" ht="77.25">
      <c r="A25" s="275">
        <v>14</v>
      </c>
      <c r="B25" s="18" t="s">
        <v>1</v>
      </c>
      <c r="C25" s="54" t="s">
        <v>2196</v>
      </c>
      <c r="D25" s="80">
        <f t="shared" si="1"/>
        <v>0</v>
      </c>
      <c r="E25" s="81">
        <f>gog!D32</f>
        <v>0</v>
      </c>
      <c r="F25" s="82">
        <f>gog!E32</f>
        <v>0</v>
      </c>
      <c r="G25" s="80">
        <f t="shared" si="0"/>
        <v>52647.839999999997</v>
      </c>
      <c r="H25" s="81">
        <f>gog!G32</f>
        <v>0</v>
      </c>
      <c r="I25" s="82">
        <f>gog!H32</f>
        <v>52647.839999999997</v>
      </c>
      <c r="J25" s="547"/>
    </row>
    <row r="26" spans="1:10" ht="26.25">
      <c r="A26" s="275">
        <v>15</v>
      </c>
      <c r="B26" s="18" t="s">
        <v>2</v>
      </c>
      <c r="C26" s="54" t="s">
        <v>2197</v>
      </c>
      <c r="D26" s="80">
        <f t="shared" si="1"/>
        <v>0</v>
      </c>
      <c r="E26" s="81">
        <f>gog!D33</f>
        <v>0</v>
      </c>
      <c r="F26" s="82">
        <f>gog!E33</f>
        <v>0</v>
      </c>
      <c r="G26" s="80">
        <f t="shared" si="0"/>
        <v>0</v>
      </c>
      <c r="H26" s="81">
        <f>gog!G33</f>
        <v>0</v>
      </c>
      <c r="I26" s="82">
        <f>gog!H33</f>
        <v>0</v>
      </c>
    </row>
    <row r="27" spans="1:10" ht="39">
      <c r="A27" s="275">
        <v>16</v>
      </c>
      <c r="B27" s="18" t="s">
        <v>3</v>
      </c>
      <c r="C27" s="54" t="s">
        <v>2198</v>
      </c>
      <c r="D27" s="80">
        <f t="shared" si="1"/>
        <v>0</v>
      </c>
      <c r="E27" s="81">
        <f>gog!D34</f>
        <v>0</v>
      </c>
      <c r="F27" s="82">
        <f>gog!E34</f>
        <v>0</v>
      </c>
      <c r="G27" s="80">
        <f t="shared" si="0"/>
        <v>0</v>
      </c>
      <c r="H27" s="81">
        <f>gog!G34</f>
        <v>0</v>
      </c>
      <c r="I27" s="82">
        <f>gog!H34</f>
        <v>0</v>
      </c>
      <c r="J27" s="10"/>
    </row>
    <row r="28" spans="1:10" ht="76.5">
      <c r="A28" s="275">
        <v>17</v>
      </c>
      <c r="B28" s="269" t="s">
        <v>4</v>
      </c>
      <c r="C28" s="54" t="s">
        <v>2199</v>
      </c>
      <c r="D28" s="80">
        <f t="shared" si="1"/>
        <v>1300000</v>
      </c>
      <c r="E28" s="81">
        <f>gog!D35</f>
        <v>1300000</v>
      </c>
      <c r="F28" s="82">
        <f>gog!E35</f>
        <v>0</v>
      </c>
      <c r="G28" s="80">
        <f t="shared" si="0"/>
        <v>154850.26</v>
      </c>
      <c r="H28" s="81">
        <f>gog!G35</f>
        <v>154850.26</v>
      </c>
      <c r="I28" s="82">
        <f>gog!H35</f>
        <v>0</v>
      </c>
    </row>
    <row r="29" spans="1:10" ht="102">
      <c r="A29" s="275">
        <v>18</v>
      </c>
      <c r="B29" s="269" t="s">
        <v>5</v>
      </c>
      <c r="C29" s="54" t="s">
        <v>2200</v>
      </c>
      <c r="D29" s="80">
        <f t="shared" si="1"/>
        <v>0</v>
      </c>
      <c r="E29" s="81">
        <f>gog!D37</f>
        <v>0</v>
      </c>
      <c r="F29" s="82">
        <f>gog!E37</f>
        <v>0</v>
      </c>
      <c r="G29" s="80">
        <f t="shared" si="0"/>
        <v>0</v>
      </c>
      <c r="H29" s="81">
        <f>gog!G37</f>
        <v>0</v>
      </c>
      <c r="I29" s="82">
        <f>gog!H37</f>
        <v>0</v>
      </c>
      <c r="J29" s="10"/>
    </row>
    <row r="30" spans="1:10" ht="51.75">
      <c r="A30" s="275">
        <v>19</v>
      </c>
      <c r="B30" s="18" t="s">
        <v>6</v>
      </c>
      <c r="C30" s="54" t="s">
        <v>2201</v>
      </c>
      <c r="D30" s="80">
        <f t="shared" si="1"/>
        <v>0</v>
      </c>
      <c r="E30" s="81">
        <f>gog!D38</f>
        <v>0</v>
      </c>
      <c r="F30" s="82">
        <f>gog!E38</f>
        <v>0</v>
      </c>
      <c r="G30" s="80">
        <f t="shared" si="0"/>
        <v>0</v>
      </c>
      <c r="H30" s="81">
        <f>gog!G38</f>
        <v>0</v>
      </c>
      <c r="I30" s="82">
        <f>gog!H38</f>
        <v>0</v>
      </c>
    </row>
    <row r="31" spans="1:10" ht="39">
      <c r="A31" s="275">
        <v>20</v>
      </c>
      <c r="B31" s="18" t="s">
        <v>1691</v>
      </c>
      <c r="C31" s="54" t="s">
        <v>2202</v>
      </c>
      <c r="D31" s="80">
        <f t="shared" si="1"/>
        <v>0</v>
      </c>
      <c r="E31" s="81">
        <f>gog!D39</f>
        <v>0</v>
      </c>
      <c r="F31" s="82">
        <f>gog!E39</f>
        <v>0</v>
      </c>
      <c r="G31" s="80">
        <f t="shared" si="0"/>
        <v>0</v>
      </c>
      <c r="H31" s="81">
        <f>gog!G39</f>
        <v>0</v>
      </c>
      <c r="I31" s="82">
        <f>gog!H39</f>
        <v>0</v>
      </c>
    </row>
    <row r="32" spans="1:10" ht="16.5">
      <c r="A32" s="275">
        <v>21</v>
      </c>
      <c r="B32" s="18" t="s">
        <v>2160</v>
      </c>
      <c r="C32" s="54" t="s">
        <v>2203</v>
      </c>
      <c r="D32" s="80">
        <f t="shared" si="1"/>
        <v>0</v>
      </c>
      <c r="E32" s="81">
        <f>gog!D40</f>
        <v>0</v>
      </c>
      <c r="F32" s="82">
        <f>gog!E40</f>
        <v>0</v>
      </c>
      <c r="G32" s="80">
        <f t="shared" si="0"/>
        <v>0</v>
      </c>
      <c r="H32" s="81">
        <f>gog!G40</f>
        <v>0</v>
      </c>
      <c r="I32" s="82">
        <f>gog!H40</f>
        <v>0</v>
      </c>
    </row>
    <row r="33" spans="1:10" ht="39">
      <c r="A33" s="275">
        <v>22</v>
      </c>
      <c r="B33" s="18" t="s">
        <v>2161</v>
      </c>
      <c r="C33" s="54" t="s">
        <v>2207</v>
      </c>
      <c r="D33" s="80">
        <f t="shared" si="1"/>
        <v>0</v>
      </c>
      <c r="E33" s="81">
        <f>gog!D41</f>
        <v>0</v>
      </c>
      <c r="F33" s="82">
        <f>gog!E41</f>
        <v>0</v>
      </c>
      <c r="G33" s="80">
        <f t="shared" si="0"/>
        <v>0</v>
      </c>
      <c r="H33" s="81">
        <f>gog!G41</f>
        <v>0</v>
      </c>
      <c r="I33" s="82">
        <f>gog!H41</f>
        <v>0</v>
      </c>
    </row>
    <row r="34" spans="1:10" ht="16.5">
      <c r="A34" s="275">
        <v>23</v>
      </c>
      <c r="B34" s="18" t="s">
        <v>39</v>
      </c>
      <c r="C34" s="54" t="s">
        <v>2208</v>
      </c>
      <c r="D34" s="80">
        <f t="shared" si="1"/>
        <v>0</v>
      </c>
      <c r="E34" s="81">
        <f>gog!D42</f>
        <v>0</v>
      </c>
      <c r="F34" s="82">
        <f>gog!E42</f>
        <v>0</v>
      </c>
      <c r="G34" s="80">
        <f t="shared" si="0"/>
        <v>0</v>
      </c>
      <c r="H34" s="81">
        <f>gog!G42</f>
        <v>0</v>
      </c>
      <c r="I34" s="82">
        <f>gog!H42</f>
        <v>0</v>
      </c>
    </row>
    <row r="35" spans="1:10" ht="26.25">
      <c r="A35" s="275">
        <v>24</v>
      </c>
      <c r="B35" s="18" t="s">
        <v>2121</v>
      </c>
      <c r="C35" s="54" t="s">
        <v>2209</v>
      </c>
      <c r="D35" s="80">
        <f t="shared" si="1"/>
        <v>0</v>
      </c>
      <c r="E35" s="81">
        <f>gog!D43</f>
        <v>0</v>
      </c>
      <c r="F35" s="82">
        <f>gog!E43</f>
        <v>0</v>
      </c>
      <c r="G35" s="80">
        <f t="shared" si="0"/>
        <v>0</v>
      </c>
      <c r="H35" s="81">
        <f>gog!G43</f>
        <v>0</v>
      </c>
      <c r="I35" s="82">
        <f>gog!H43</f>
        <v>0</v>
      </c>
      <c r="J35" s="10"/>
    </row>
    <row r="36" spans="1:10" ht="102.75">
      <c r="A36" s="275">
        <v>25</v>
      </c>
      <c r="B36" s="18" t="s">
        <v>2123</v>
      </c>
      <c r="C36" s="54" t="s">
        <v>2044</v>
      </c>
      <c r="D36" s="80">
        <f t="shared" si="1"/>
        <v>0</v>
      </c>
      <c r="E36" s="81">
        <f>gog!D44</f>
        <v>0</v>
      </c>
      <c r="F36" s="82">
        <f>gog!E44</f>
        <v>0</v>
      </c>
      <c r="G36" s="80">
        <f t="shared" si="0"/>
        <v>0</v>
      </c>
      <c r="H36" s="81">
        <f>gog!G44</f>
        <v>0</v>
      </c>
      <c r="I36" s="82">
        <f>gog!H44</f>
        <v>0</v>
      </c>
    </row>
    <row r="37" spans="1:10" ht="90">
      <c r="A37" s="275">
        <v>26</v>
      </c>
      <c r="B37" s="18" t="s">
        <v>2124</v>
      </c>
      <c r="C37" s="54" t="s">
        <v>2045</v>
      </c>
      <c r="D37" s="80">
        <f t="shared" si="1"/>
        <v>0</v>
      </c>
      <c r="E37" s="81">
        <f>gog!D45</f>
        <v>0</v>
      </c>
      <c r="F37" s="82">
        <f>gog!E45</f>
        <v>0</v>
      </c>
      <c r="G37" s="80">
        <f t="shared" si="0"/>
        <v>0</v>
      </c>
      <c r="H37" s="81">
        <f>gog!G45</f>
        <v>0</v>
      </c>
      <c r="I37" s="82">
        <f>gog!H45</f>
        <v>0</v>
      </c>
    </row>
    <row r="38" spans="1:10" ht="64.5">
      <c r="A38" s="275">
        <v>28</v>
      </c>
      <c r="B38" s="18" t="s">
        <v>2126</v>
      </c>
      <c r="C38" s="54" t="s">
        <v>2266</v>
      </c>
      <c r="D38" s="80">
        <f t="shared" si="1"/>
        <v>1480200</v>
      </c>
      <c r="E38" s="81">
        <f>gog!D49</f>
        <v>1480200</v>
      </c>
      <c r="F38" s="82">
        <f>gog!E49</f>
        <v>0</v>
      </c>
      <c r="G38" s="80">
        <f t="shared" si="0"/>
        <v>92813.07</v>
      </c>
      <c r="H38" s="81">
        <f>gog!G49</f>
        <v>92813.07</v>
      </c>
      <c r="I38" s="82">
        <f>gog!H49</f>
        <v>0</v>
      </c>
    </row>
    <row r="39" spans="1:10" ht="64.5">
      <c r="A39" s="275">
        <v>29</v>
      </c>
      <c r="B39" s="18" t="s">
        <v>1632</v>
      </c>
      <c r="C39" s="54" t="s">
        <v>2270</v>
      </c>
      <c r="D39" s="80" t="e">
        <f t="shared" si="1"/>
        <v>#REF!</v>
      </c>
      <c r="E39" s="81" t="e">
        <f>gog!#REF!</f>
        <v>#REF!</v>
      </c>
      <c r="F39" s="82" t="e">
        <f>gog!#REF!</f>
        <v>#REF!</v>
      </c>
      <c r="G39" s="80" t="e">
        <f t="shared" si="0"/>
        <v>#REF!</v>
      </c>
      <c r="H39" s="81" t="e">
        <f>gog!#REF!</f>
        <v>#REF!</v>
      </c>
      <c r="I39" s="82" t="e">
        <f>gog!#REF!</f>
        <v>#REF!</v>
      </c>
      <c r="J39" s="547"/>
    </row>
    <row r="40" spans="1:10" ht="26.25">
      <c r="A40" s="275">
        <v>30</v>
      </c>
      <c r="B40" s="18" t="s">
        <v>44</v>
      </c>
      <c r="C40" s="54" t="s">
        <v>2267</v>
      </c>
      <c r="D40" s="80">
        <f t="shared" si="1"/>
        <v>3800</v>
      </c>
      <c r="E40" s="81">
        <f>gog!D51</f>
        <v>3800</v>
      </c>
      <c r="F40" s="82">
        <f>gog!E51</f>
        <v>0</v>
      </c>
      <c r="G40" s="80">
        <f t="shared" si="0"/>
        <v>2258.6999999999998</v>
      </c>
      <c r="H40" s="81">
        <f>gog!G51</f>
        <v>2258.6999999999998</v>
      </c>
      <c r="I40" s="82">
        <f>gog!H51</f>
        <v>0</v>
      </c>
    </row>
    <row r="41" spans="1:10" ht="64.5">
      <c r="A41" s="275">
        <v>31</v>
      </c>
      <c r="B41" s="18" t="s">
        <v>2182</v>
      </c>
      <c r="C41" s="29" t="s">
        <v>2268</v>
      </c>
      <c r="D41" s="80">
        <f t="shared" si="1"/>
        <v>0</v>
      </c>
      <c r="E41" s="81">
        <f>gog!D56</f>
        <v>0</v>
      </c>
      <c r="F41" s="82">
        <f>gog!E56</f>
        <v>0</v>
      </c>
      <c r="G41" s="80">
        <f t="shared" si="0"/>
        <v>0</v>
      </c>
      <c r="H41" s="81">
        <f>gog!G56</f>
        <v>0</v>
      </c>
      <c r="I41" s="82">
        <f>gog!H56</f>
        <v>0</v>
      </c>
    </row>
    <row r="42" spans="1:10" ht="77.25">
      <c r="A42" s="275">
        <v>32</v>
      </c>
      <c r="B42" s="272" t="s">
        <v>1597</v>
      </c>
      <c r="C42" s="259" t="s">
        <v>2269</v>
      </c>
      <c r="D42" s="80">
        <f t="shared" si="1"/>
        <v>5000</v>
      </c>
      <c r="E42" s="81">
        <f>gog!D57</f>
        <v>5000</v>
      </c>
      <c r="F42" s="82">
        <f>gog!E57</f>
        <v>0</v>
      </c>
      <c r="G42" s="80">
        <f t="shared" si="0"/>
        <v>-0.08</v>
      </c>
      <c r="H42" s="81">
        <f>gog!G57</f>
        <v>-0.08</v>
      </c>
      <c r="I42" s="82">
        <f>gog!H57</f>
        <v>0</v>
      </c>
    </row>
    <row r="43" spans="1:10" ht="64.5">
      <c r="A43" s="275">
        <v>33</v>
      </c>
      <c r="B43" s="272" t="s">
        <v>1599</v>
      </c>
      <c r="C43" s="259" t="s">
        <v>2271</v>
      </c>
      <c r="D43" s="80">
        <f t="shared" si="1"/>
        <v>0</v>
      </c>
      <c r="E43" s="81">
        <f>gog!D58</f>
        <v>0</v>
      </c>
      <c r="F43" s="82">
        <f>gog!E58</f>
        <v>0</v>
      </c>
      <c r="G43" s="80">
        <f t="shared" si="0"/>
        <v>0</v>
      </c>
      <c r="H43" s="81">
        <f>gog!G58</f>
        <v>0</v>
      </c>
      <c r="I43" s="82">
        <f>gog!H58</f>
        <v>0</v>
      </c>
    </row>
    <row r="44" spans="1:10" ht="64.5">
      <c r="A44" s="275">
        <v>34</v>
      </c>
      <c r="B44" s="272" t="s">
        <v>1600</v>
      </c>
      <c r="C44" s="259" t="s">
        <v>2272</v>
      </c>
      <c r="D44" s="80">
        <f t="shared" si="1"/>
        <v>5000</v>
      </c>
      <c r="E44" s="81">
        <f>gog!D59</f>
        <v>5000</v>
      </c>
      <c r="F44" s="82">
        <f>gog!E59</f>
        <v>0</v>
      </c>
      <c r="G44" s="80">
        <f t="shared" si="0"/>
        <v>0</v>
      </c>
      <c r="H44" s="81">
        <f>gog!G59</f>
        <v>0</v>
      </c>
      <c r="I44" s="82">
        <f>gog!H59</f>
        <v>0</v>
      </c>
    </row>
    <row r="45" spans="1:10" ht="64.5">
      <c r="A45" s="275">
        <v>35</v>
      </c>
      <c r="B45" s="273" t="s">
        <v>1692</v>
      </c>
      <c r="C45" s="259" t="s">
        <v>2273</v>
      </c>
      <c r="D45" s="80">
        <f t="shared" si="1"/>
        <v>3000</v>
      </c>
      <c r="E45" s="81">
        <f>gog!D60</f>
        <v>3000</v>
      </c>
      <c r="F45" s="82">
        <f>gog!E60</f>
        <v>0</v>
      </c>
      <c r="G45" s="80">
        <f t="shared" si="0"/>
        <v>0</v>
      </c>
      <c r="H45" s="81">
        <f>gog!G60</f>
        <v>0</v>
      </c>
      <c r="I45" s="82">
        <f>gog!H60</f>
        <v>0</v>
      </c>
    </row>
    <row r="46" spans="1:10" ht="26.25">
      <c r="A46" s="275">
        <v>36</v>
      </c>
      <c r="B46" s="273" t="s">
        <v>2283</v>
      </c>
      <c r="C46" s="259" t="s">
        <v>2274</v>
      </c>
      <c r="D46" s="80">
        <f t="shared" si="1"/>
        <v>0</v>
      </c>
      <c r="E46" s="81">
        <f>gog!D62</f>
        <v>0</v>
      </c>
      <c r="F46" s="82">
        <f>gog!E62</f>
        <v>0</v>
      </c>
      <c r="G46" s="80">
        <f t="shared" si="0"/>
        <v>1500</v>
      </c>
      <c r="H46" s="81">
        <f>gog!G62</f>
        <v>1500</v>
      </c>
      <c r="I46" s="82">
        <f>gog!H62</f>
        <v>0</v>
      </c>
    </row>
    <row r="47" spans="1:10" ht="90">
      <c r="A47" s="275">
        <v>37</v>
      </c>
      <c r="B47" s="272" t="s">
        <v>1607</v>
      </c>
      <c r="C47" s="259" t="s">
        <v>2275</v>
      </c>
      <c r="D47" s="80">
        <f t="shared" si="1"/>
        <v>10000</v>
      </c>
      <c r="E47" s="81">
        <f>gog!D63</f>
        <v>10000</v>
      </c>
      <c r="F47" s="82">
        <f>gog!E63</f>
        <v>0</v>
      </c>
      <c r="G47" s="80">
        <f t="shared" si="0"/>
        <v>0</v>
      </c>
      <c r="H47" s="81">
        <f>gog!G63</f>
        <v>0</v>
      </c>
      <c r="I47" s="82">
        <f>gog!H63</f>
        <v>0</v>
      </c>
    </row>
    <row r="48" spans="1:10" ht="26.25">
      <c r="A48" s="275">
        <v>38</v>
      </c>
      <c r="B48" s="272" t="s">
        <v>1608</v>
      </c>
      <c r="C48" s="259" t="s">
        <v>2280</v>
      </c>
      <c r="D48" s="80">
        <f t="shared" si="1"/>
        <v>0</v>
      </c>
      <c r="E48" s="81">
        <f>gog!D64</f>
        <v>0</v>
      </c>
      <c r="F48" s="82">
        <f>gog!E64</f>
        <v>0</v>
      </c>
      <c r="G48" s="80">
        <f t="shared" si="0"/>
        <v>0</v>
      </c>
      <c r="H48" s="81">
        <f>gog!G64</f>
        <v>0</v>
      </c>
      <c r="I48" s="82">
        <f>gog!H64</f>
        <v>0</v>
      </c>
    </row>
    <row r="49" spans="1:9" ht="26.25">
      <c r="A49" s="275">
        <v>39</v>
      </c>
      <c r="B49" s="273" t="s">
        <v>2282</v>
      </c>
      <c r="C49" s="259" t="s">
        <v>2281</v>
      </c>
      <c r="D49" s="80">
        <f t="shared" si="1"/>
        <v>0</v>
      </c>
      <c r="E49" s="81">
        <f>gog!D65</f>
        <v>0</v>
      </c>
      <c r="F49" s="82">
        <f>gog!E65</f>
        <v>0</v>
      </c>
      <c r="G49" s="80">
        <f t="shared" si="0"/>
        <v>0</v>
      </c>
      <c r="H49" s="81">
        <f>gog!G65</f>
        <v>0</v>
      </c>
      <c r="I49" s="82">
        <f>gog!H65</f>
        <v>0</v>
      </c>
    </row>
    <row r="50" spans="1:9" ht="26.25">
      <c r="A50" s="275">
        <v>40</v>
      </c>
      <c r="B50" s="273" t="s">
        <v>1693</v>
      </c>
      <c r="C50" s="259" t="s">
        <v>2284</v>
      </c>
      <c r="D50" s="80">
        <f t="shared" si="1"/>
        <v>0</v>
      </c>
      <c r="E50" s="81">
        <f>gog!D66</f>
        <v>0</v>
      </c>
      <c r="F50" s="82">
        <f>gog!E66</f>
        <v>0</v>
      </c>
      <c r="G50" s="80">
        <f t="shared" si="0"/>
        <v>0</v>
      </c>
      <c r="H50" s="81">
        <f>gog!G66</f>
        <v>0</v>
      </c>
      <c r="I50" s="82">
        <f>gog!H66</f>
        <v>0</v>
      </c>
    </row>
    <row r="51" spans="1:9" ht="64.5">
      <c r="A51" s="275">
        <v>41</v>
      </c>
      <c r="B51" s="272" t="s">
        <v>1609</v>
      </c>
      <c r="C51" s="259" t="s">
        <v>1694</v>
      </c>
      <c r="D51" s="80">
        <f t="shared" si="1"/>
        <v>0</v>
      </c>
      <c r="E51" s="81">
        <f>gog!D67</f>
        <v>0</v>
      </c>
      <c r="F51" s="82">
        <f>gog!E67</f>
        <v>0</v>
      </c>
      <c r="G51" s="80">
        <f t="shared" si="0"/>
        <v>0</v>
      </c>
      <c r="H51" s="81">
        <f>gog!G67</f>
        <v>0</v>
      </c>
      <c r="I51" s="82">
        <f>gog!H67</f>
        <v>0</v>
      </c>
    </row>
    <row r="52" spans="1:9" ht="39">
      <c r="A52" s="275">
        <v>42</v>
      </c>
      <c r="B52" s="272" t="s">
        <v>7</v>
      </c>
      <c r="C52" s="259" t="s">
        <v>1944</v>
      </c>
      <c r="D52" s="80">
        <f t="shared" si="1"/>
        <v>233000</v>
      </c>
      <c r="E52" s="81">
        <f>gog!D68</f>
        <v>233000</v>
      </c>
      <c r="F52" s="82">
        <f>gog!E68</f>
        <v>0</v>
      </c>
      <c r="G52" s="80">
        <f t="shared" si="0"/>
        <v>78000</v>
      </c>
      <c r="H52" s="81">
        <f>gog!G68</f>
        <v>78000</v>
      </c>
      <c r="I52" s="82">
        <f>gog!H68</f>
        <v>0</v>
      </c>
    </row>
    <row r="53" spans="1:9" ht="64.5">
      <c r="A53" s="275">
        <v>43</v>
      </c>
      <c r="B53" s="272" t="s">
        <v>1664</v>
      </c>
      <c r="C53" s="259" t="s">
        <v>1660</v>
      </c>
      <c r="D53" s="80">
        <f t="shared" si="1"/>
        <v>0</v>
      </c>
      <c r="E53" s="81">
        <f>gog!D69</f>
        <v>0</v>
      </c>
      <c r="F53" s="82">
        <f>gog!E69</f>
        <v>0</v>
      </c>
      <c r="G53" s="80">
        <f t="shared" si="0"/>
        <v>0</v>
      </c>
      <c r="H53" s="81">
        <f>gog!G69</f>
        <v>0</v>
      </c>
      <c r="I53" s="82">
        <f>gog!H69</f>
        <v>0</v>
      </c>
    </row>
    <row r="54" spans="1:9" ht="39">
      <c r="A54" s="275">
        <v>44</v>
      </c>
      <c r="B54" s="274" t="s">
        <v>250</v>
      </c>
      <c r="C54" s="259" t="s">
        <v>2183</v>
      </c>
      <c r="D54" s="80">
        <f t="shared" si="1"/>
        <v>130000</v>
      </c>
      <c r="E54" s="81">
        <f>gog!D75</f>
        <v>130000</v>
      </c>
      <c r="F54" s="82">
        <f>gog!E75</f>
        <v>0</v>
      </c>
      <c r="G54" s="80">
        <f t="shared" si="0"/>
        <v>30365.37</v>
      </c>
      <c r="H54" s="81">
        <f>gog!G75</f>
        <v>30365.37</v>
      </c>
      <c r="I54" s="82">
        <f>gog!H75</f>
        <v>0</v>
      </c>
    </row>
    <row r="55" spans="1:9" ht="39">
      <c r="A55" s="275">
        <v>45</v>
      </c>
      <c r="B55" s="272" t="s">
        <v>8</v>
      </c>
      <c r="C55" s="259" t="s">
        <v>1945</v>
      </c>
      <c r="D55" s="80">
        <f t="shared" si="1"/>
        <v>0</v>
      </c>
      <c r="E55" s="81">
        <f>gog!D76</f>
        <v>0</v>
      </c>
      <c r="F55" s="82">
        <f>gog!E76</f>
        <v>0</v>
      </c>
      <c r="G55" s="80">
        <f t="shared" si="0"/>
        <v>0</v>
      </c>
      <c r="H55" s="81">
        <f>gog!G76</f>
        <v>0</v>
      </c>
      <c r="I55" s="82">
        <f>gog!H76</f>
        <v>0</v>
      </c>
    </row>
    <row r="56" spans="1:9" ht="16.5">
      <c r="A56" s="275">
        <v>46</v>
      </c>
      <c r="B56" s="270" t="s">
        <v>46</v>
      </c>
      <c r="C56" s="54" t="s">
        <v>1946</v>
      </c>
      <c r="D56" s="80">
        <f t="shared" si="1"/>
        <v>0</v>
      </c>
      <c r="E56" s="81">
        <f>gog!D77</f>
        <v>0</v>
      </c>
      <c r="F56" s="82">
        <f>gog!E77</f>
        <v>0</v>
      </c>
      <c r="G56" s="80">
        <f t="shared" si="0"/>
        <v>0</v>
      </c>
      <c r="H56" s="81">
        <f>gog!G77</f>
        <v>0</v>
      </c>
      <c r="I56" s="82">
        <f>gog!H77</f>
        <v>0</v>
      </c>
    </row>
    <row r="57" spans="1:9" ht="26.25">
      <c r="A57" s="275">
        <v>47</v>
      </c>
      <c r="B57" s="18" t="s">
        <v>9</v>
      </c>
      <c r="C57" s="54" t="s">
        <v>1947</v>
      </c>
      <c r="D57" s="80">
        <f t="shared" si="1"/>
        <v>0</v>
      </c>
      <c r="E57" s="81">
        <f>gog!D78</f>
        <v>0</v>
      </c>
      <c r="F57" s="82">
        <f>gog!E78</f>
        <v>0</v>
      </c>
      <c r="G57" s="80">
        <f t="shared" si="0"/>
        <v>0</v>
      </c>
      <c r="H57" s="81">
        <f>gog!G78</f>
        <v>0</v>
      </c>
      <c r="I57" s="82">
        <f>gog!H78</f>
        <v>0</v>
      </c>
    </row>
    <row r="58" spans="1:9" ht="16.5">
      <c r="A58" s="275"/>
      <c r="B58" s="18" t="s">
        <v>2082</v>
      </c>
      <c r="C58" s="54" t="s">
        <v>1588</v>
      </c>
      <c r="D58" s="80"/>
      <c r="E58" s="81">
        <f>gog!D79</f>
        <v>220000</v>
      </c>
      <c r="F58" s="82">
        <f>gog!E79</f>
        <v>0</v>
      </c>
      <c r="G58" s="80">
        <f>H58</f>
        <v>1906.84</v>
      </c>
      <c r="H58" s="81">
        <f>gog!G79</f>
        <v>1906.84</v>
      </c>
      <c r="I58" s="82">
        <f>gog!H79</f>
        <v>0</v>
      </c>
    </row>
    <row r="59" spans="1:9" ht="16.5">
      <c r="A59" s="275">
        <v>48</v>
      </c>
      <c r="B59" s="18" t="s">
        <v>2082</v>
      </c>
      <c r="C59" s="54" t="s">
        <v>30</v>
      </c>
      <c r="D59" s="80">
        <f t="shared" si="1"/>
        <v>240000</v>
      </c>
      <c r="E59" s="81">
        <f>gog!D80</f>
        <v>0</v>
      </c>
      <c r="F59" s="82">
        <f>gog!E80</f>
        <v>240000</v>
      </c>
      <c r="G59" s="80">
        <f t="shared" si="0"/>
        <v>55245</v>
      </c>
      <c r="H59" s="81">
        <f>gog!G80</f>
        <v>0</v>
      </c>
      <c r="I59" s="82">
        <f>gog!H80</f>
        <v>55245</v>
      </c>
    </row>
    <row r="60" spans="1:9" ht="26.25">
      <c r="A60" s="275">
        <v>49</v>
      </c>
      <c r="B60" s="18" t="s">
        <v>10</v>
      </c>
      <c r="C60" s="54" t="s">
        <v>1948</v>
      </c>
      <c r="D60" s="80">
        <f t="shared" si="1"/>
        <v>0</v>
      </c>
      <c r="E60" s="81">
        <f>gog!D81</f>
        <v>0</v>
      </c>
      <c r="F60" s="82">
        <f>gog!E81</f>
        <v>0</v>
      </c>
      <c r="G60" s="80">
        <f t="shared" si="0"/>
        <v>0</v>
      </c>
      <c r="H60" s="81">
        <f>gog!G81</f>
        <v>0</v>
      </c>
      <c r="I60" s="82">
        <f>gog!H81</f>
        <v>0</v>
      </c>
    </row>
    <row r="61" spans="1:9" ht="26.25">
      <c r="A61" s="275">
        <v>50</v>
      </c>
      <c r="B61" s="18" t="s">
        <v>12</v>
      </c>
      <c r="C61" s="54" t="s">
        <v>1354</v>
      </c>
      <c r="D61" s="80">
        <f t="shared" si="1"/>
        <v>0</v>
      </c>
      <c r="E61" s="81">
        <f>gog!D82</f>
        <v>0</v>
      </c>
      <c r="F61" s="82">
        <f>gog!E82</f>
        <v>0</v>
      </c>
      <c r="G61" s="80">
        <f t="shared" si="0"/>
        <v>0</v>
      </c>
      <c r="H61" s="81">
        <f>gog!G82</f>
        <v>0</v>
      </c>
      <c r="I61" s="82">
        <f>gog!H82</f>
        <v>0</v>
      </c>
    </row>
    <row r="62" spans="1:9" ht="16.5">
      <c r="A62" s="296"/>
      <c r="B62" s="72"/>
      <c r="C62" s="333"/>
      <c r="D62" s="334"/>
      <c r="E62" s="335"/>
      <c r="F62" s="336"/>
      <c r="G62" s="334"/>
      <c r="H62" s="335"/>
      <c r="I62" s="336"/>
    </row>
    <row r="63" spans="1:9" ht="16.5">
      <c r="A63" s="296"/>
      <c r="B63" s="72"/>
      <c r="C63" s="333"/>
      <c r="D63" s="334"/>
      <c r="E63" s="335"/>
      <c r="F63" s="336"/>
      <c r="G63" s="334"/>
      <c r="H63" s="335"/>
      <c r="I63" s="336"/>
    </row>
    <row r="64" spans="1:9" ht="16.5">
      <c r="A64" s="296"/>
      <c r="B64" s="72"/>
      <c r="C64" s="333"/>
      <c r="D64" s="334"/>
      <c r="E64" s="335"/>
      <c r="F64" s="336"/>
      <c r="G64" s="334"/>
      <c r="H64" s="335"/>
      <c r="I64" s="336"/>
    </row>
    <row r="65" spans="1:9" ht="16.5">
      <c r="A65" s="296"/>
      <c r="B65" s="72"/>
      <c r="C65" s="333"/>
      <c r="D65" s="334"/>
      <c r="E65" s="335"/>
      <c r="F65" s="336"/>
      <c r="G65" s="334"/>
      <c r="H65" s="335" t="s">
        <v>1590</v>
      </c>
      <c r="I65" s="336"/>
    </row>
    <row r="66" spans="1:9" ht="16.5">
      <c r="A66" s="296"/>
      <c r="B66" s="72"/>
      <c r="C66" s="333"/>
      <c r="D66" s="334"/>
      <c r="E66" s="335"/>
      <c r="F66" s="336"/>
      <c r="G66" s="334"/>
      <c r="H66" s="335"/>
      <c r="I66" s="336"/>
    </row>
    <row r="67" spans="1:9" ht="16.5">
      <c r="A67" s="296"/>
      <c r="B67" s="72"/>
      <c r="C67" s="333"/>
      <c r="D67" s="334"/>
      <c r="E67" s="335"/>
      <c r="F67" s="336"/>
      <c r="G67" s="334"/>
      <c r="H67" s="335"/>
      <c r="I67" s="336"/>
    </row>
    <row r="68" spans="1:9" ht="16.5">
      <c r="A68" s="296"/>
      <c r="B68" s="72"/>
      <c r="C68" s="333"/>
      <c r="D68" s="334"/>
      <c r="E68" s="335"/>
      <c r="F68" s="336"/>
      <c r="G68" s="334"/>
      <c r="H68" s="335"/>
      <c r="I68" s="336"/>
    </row>
    <row r="69" spans="1:9" ht="16.5">
      <c r="A69" s="296"/>
      <c r="B69" s="72"/>
      <c r="C69" s="333"/>
      <c r="D69" s="334"/>
      <c r="E69" s="335"/>
      <c r="F69" s="336"/>
      <c r="G69" s="334"/>
      <c r="H69" s="335"/>
      <c r="I69" s="336"/>
    </row>
    <row r="70" spans="1:9" ht="16.5">
      <c r="A70" s="275">
        <v>51</v>
      </c>
      <c r="B70" s="348" t="s">
        <v>48</v>
      </c>
      <c r="C70" s="55" t="s">
        <v>47</v>
      </c>
      <c r="D70" s="78" t="e">
        <f>SUM(D71:D85)</f>
        <v>#REF!</v>
      </c>
      <c r="E70" s="83" t="e">
        <f>SUM(E71:E86)</f>
        <v>#REF!</v>
      </c>
      <c r="F70" s="83" t="e">
        <f>SUM(F71:F86)</f>
        <v>#REF!</v>
      </c>
      <c r="G70" s="78" t="e">
        <f>SUM(G71:G85)</f>
        <v>#REF!</v>
      </c>
      <c r="H70" s="83" t="e">
        <f>SUM(H71:H86)</f>
        <v>#REF!</v>
      </c>
      <c r="I70" s="83" t="e">
        <f>SUM(I71:I86)</f>
        <v>#REF!</v>
      </c>
    </row>
    <row r="71" spans="1:9" ht="25.5">
      <c r="A71" s="275">
        <v>52</v>
      </c>
      <c r="B71" s="337" t="s">
        <v>13</v>
      </c>
      <c r="C71" s="187" t="s">
        <v>1355</v>
      </c>
      <c r="D71" s="80">
        <f t="shared" si="1"/>
        <v>59122600</v>
      </c>
      <c r="E71" s="81">
        <f>gog!D84</f>
        <v>59122600</v>
      </c>
      <c r="F71" s="82">
        <f>gog!E84</f>
        <v>0</v>
      </c>
      <c r="G71" s="80">
        <f t="shared" si="0"/>
        <v>29205000</v>
      </c>
      <c r="H71" s="81">
        <f>gog!G84</f>
        <v>29205000</v>
      </c>
      <c r="I71" s="82">
        <f>gog!H84</f>
        <v>0</v>
      </c>
    </row>
    <row r="72" spans="1:9" ht="25.5">
      <c r="A72" s="275">
        <v>53</v>
      </c>
      <c r="B72" s="343" t="s">
        <v>1519</v>
      </c>
      <c r="C72" s="344" t="s">
        <v>1356</v>
      </c>
      <c r="D72" s="98" t="e">
        <f>F72-mo!#REF!</f>
        <v>#REF!</v>
      </c>
      <c r="E72" s="81">
        <f>gog!D87</f>
        <v>0</v>
      </c>
      <c r="F72" s="82">
        <f>gog!E87</f>
        <v>50609100</v>
      </c>
      <c r="G72" s="80" t="e">
        <f>mo!#REF!</f>
        <v>#REF!</v>
      </c>
      <c r="H72" s="81">
        <f>gog!G87</f>
        <v>0</v>
      </c>
      <c r="I72" s="82">
        <f>gog!H87</f>
        <v>11126000</v>
      </c>
    </row>
    <row r="73" spans="1:9" ht="25.5">
      <c r="A73" s="275">
        <v>54</v>
      </c>
      <c r="B73" s="338" t="s">
        <v>1520</v>
      </c>
      <c r="C73" s="187" t="s">
        <v>1521</v>
      </c>
      <c r="D73" s="80">
        <f t="shared" si="1"/>
        <v>0</v>
      </c>
      <c r="E73" s="81">
        <f>gog!D90</f>
        <v>0</v>
      </c>
      <c r="F73" s="82">
        <f>gog!E90</f>
        <v>0</v>
      </c>
      <c r="G73" s="80">
        <f t="shared" si="0"/>
        <v>0</v>
      </c>
      <c r="H73" s="81">
        <f>gog!G90</f>
        <v>0</v>
      </c>
      <c r="I73" s="82">
        <f>gog!H90</f>
        <v>0</v>
      </c>
    </row>
    <row r="74" spans="1:9" ht="16.5">
      <c r="A74" s="275"/>
      <c r="B74" s="338" t="s">
        <v>777</v>
      </c>
      <c r="C74" s="187" t="s">
        <v>776</v>
      </c>
      <c r="D74" s="80" t="e">
        <f>E74+F74</f>
        <v>#REF!</v>
      </c>
      <c r="E74" s="81" t="e">
        <f>gog!#REF!</f>
        <v>#REF!</v>
      </c>
      <c r="F74" s="82" t="e">
        <f>gog!#REF!</f>
        <v>#REF!</v>
      </c>
      <c r="G74" s="80" t="e">
        <f>I74</f>
        <v>#REF!</v>
      </c>
      <c r="H74" s="81" t="e">
        <f>gog!#REF!</f>
        <v>#REF!</v>
      </c>
      <c r="I74" s="82" t="e">
        <f>gog!#REF!</f>
        <v>#REF!</v>
      </c>
    </row>
    <row r="75" spans="1:9" ht="63.75">
      <c r="A75" s="275">
        <v>55</v>
      </c>
      <c r="B75" s="337" t="s">
        <v>1522</v>
      </c>
      <c r="C75" s="187" t="s">
        <v>1523</v>
      </c>
      <c r="D75" s="80" t="e">
        <f t="shared" si="1"/>
        <v>#REF!</v>
      </c>
      <c r="E75" s="81" t="e">
        <f>gog!#REF!</f>
        <v>#REF!</v>
      </c>
      <c r="F75" s="82" t="e">
        <f>gog!#REF!</f>
        <v>#REF!</v>
      </c>
      <c r="G75" s="80" t="e">
        <f t="shared" si="0"/>
        <v>#REF!</v>
      </c>
      <c r="H75" s="81" t="e">
        <f>gog!#REF!</f>
        <v>#REF!</v>
      </c>
      <c r="I75" s="82" t="e">
        <f>gog!#REF!</f>
        <v>#REF!</v>
      </c>
    </row>
    <row r="76" spans="1:9" ht="38.25">
      <c r="A76" s="275">
        <v>56</v>
      </c>
      <c r="B76" s="337" t="s">
        <v>1524</v>
      </c>
      <c r="C76" s="187" t="s">
        <v>1525</v>
      </c>
      <c r="D76" s="80">
        <f t="shared" si="1"/>
        <v>33626800</v>
      </c>
      <c r="E76" s="81">
        <f>gog!D93</f>
        <v>33626800</v>
      </c>
      <c r="F76" s="82">
        <f>gog!E93</f>
        <v>0</v>
      </c>
      <c r="G76" s="80">
        <f t="shared" si="0"/>
        <v>2624000</v>
      </c>
      <c r="H76" s="81">
        <f>gog!G93</f>
        <v>2624000</v>
      </c>
      <c r="I76" s="82">
        <f>gog!H93</f>
        <v>0</v>
      </c>
    </row>
    <row r="77" spans="1:9" ht="63.75">
      <c r="A77" s="275">
        <v>57</v>
      </c>
      <c r="B77" s="337" t="s">
        <v>2059</v>
      </c>
      <c r="C77" s="187" t="s">
        <v>988</v>
      </c>
      <c r="D77" s="80">
        <f t="shared" si="1"/>
        <v>813200</v>
      </c>
      <c r="E77" s="81">
        <f>gog!D94</f>
        <v>0</v>
      </c>
      <c r="F77" s="82">
        <f>gog!E94</f>
        <v>813200</v>
      </c>
      <c r="G77" s="80">
        <f t="shared" si="0"/>
        <v>0</v>
      </c>
      <c r="H77" s="81">
        <f>gog!G94</f>
        <v>0</v>
      </c>
      <c r="I77" s="82">
        <f>gog!H94</f>
        <v>0</v>
      </c>
    </row>
    <row r="78" spans="1:9" ht="25.5">
      <c r="A78" s="275">
        <v>58</v>
      </c>
      <c r="B78" s="337" t="s">
        <v>19</v>
      </c>
      <c r="C78" s="188" t="s">
        <v>989</v>
      </c>
      <c r="D78" s="80">
        <f t="shared" si="1"/>
        <v>639000</v>
      </c>
      <c r="E78" s="81">
        <f>gog!D96</f>
        <v>0</v>
      </c>
      <c r="F78" s="82">
        <f>gog!E96</f>
        <v>639000</v>
      </c>
      <c r="G78" s="80">
        <f t="shared" si="0"/>
        <v>107155.02999999998</v>
      </c>
      <c r="H78" s="81">
        <f>gog!G96</f>
        <v>0</v>
      </c>
      <c r="I78" s="82">
        <f>gog!H96</f>
        <v>107155.02999999998</v>
      </c>
    </row>
    <row r="79" spans="1:9" ht="16.5">
      <c r="A79" s="275">
        <v>59</v>
      </c>
      <c r="B79" s="337" t="s">
        <v>20</v>
      </c>
      <c r="C79" s="188" t="s">
        <v>2080</v>
      </c>
      <c r="D79" s="80">
        <f t="shared" si="1"/>
        <v>0</v>
      </c>
      <c r="E79" s="81">
        <f>gog!D97</f>
        <v>0</v>
      </c>
      <c r="F79" s="82">
        <f>gog!E97</f>
        <v>0</v>
      </c>
      <c r="G79" s="80">
        <f t="shared" si="0"/>
        <v>0</v>
      </c>
      <c r="H79" s="81">
        <f>gog!G97</f>
        <v>0</v>
      </c>
      <c r="I79" s="82">
        <f>gog!H97</f>
        <v>0</v>
      </c>
    </row>
    <row r="80" spans="1:9" ht="63.75">
      <c r="A80" s="275">
        <v>60</v>
      </c>
      <c r="B80" s="337" t="s">
        <v>2060</v>
      </c>
      <c r="C80" s="188" t="s">
        <v>990</v>
      </c>
      <c r="D80" s="80">
        <f t="shared" si="1"/>
        <v>10500100</v>
      </c>
      <c r="E80" s="81">
        <f>gog!D98</f>
        <v>10500100</v>
      </c>
      <c r="F80" s="82">
        <f>gog!E98</f>
        <v>0</v>
      </c>
      <c r="G80" s="80">
        <f t="shared" si="0"/>
        <v>4203044.22</v>
      </c>
      <c r="H80" s="81">
        <f>gog!G98</f>
        <v>4203044.22</v>
      </c>
      <c r="I80" s="82">
        <f>gog!H98</f>
        <v>0</v>
      </c>
    </row>
    <row r="81" spans="1:9" ht="38.25">
      <c r="A81" s="275">
        <v>61</v>
      </c>
      <c r="B81" s="337" t="s">
        <v>1584</v>
      </c>
      <c r="C81" s="188" t="s">
        <v>2081</v>
      </c>
      <c r="D81" s="80">
        <f t="shared" si="1"/>
        <v>5553400</v>
      </c>
      <c r="E81" s="81">
        <f>gog!D99</f>
        <v>5553400</v>
      </c>
      <c r="F81" s="82">
        <f>gog!E99</f>
        <v>0</v>
      </c>
      <c r="G81" s="80">
        <f t="shared" si="0"/>
        <v>1178901.7</v>
      </c>
      <c r="H81" s="81">
        <f>gog!G99</f>
        <v>1178901.7</v>
      </c>
      <c r="I81" s="82">
        <f>gog!H99</f>
        <v>0</v>
      </c>
    </row>
    <row r="82" spans="1:9" ht="38.25">
      <c r="A82" s="275">
        <v>62</v>
      </c>
      <c r="B82" s="337" t="s">
        <v>2061</v>
      </c>
      <c r="C82" s="188" t="s">
        <v>991</v>
      </c>
      <c r="D82" s="80">
        <f t="shared" si="1"/>
        <v>120549300</v>
      </c>
      <c r="E82" s="81">
        <f>gog!D105</f>
        <v>120549300</v>
      </c>
      <c r="F82" s="82">
        <f>gog!E105</f>
        <v>0</v>
      </c>
      <c r="G82" s="80">
        <f t="shared" si="0"/>
        <v>25618300</v>
      </c>
      <c r="H82" s="81">
        <f>gog!G105</f>
        <v>25618300</v>
      </c>
      <c r="I82" s="82">
        <f>gog!H105</f>
        <v>0</v>
      </c>
    </row>
    <row r="83" spans="1:9" ht="38.25">
      <c r="A83" s="275">
        <v>63</v>
      </c>
      <c r="B83" s="337" t="s">
        <v>2062</v>
      </c>
      <c r="C83" s="188" t="s">
        <v>992</v>
      </c>
      <c r="D83" s="80">
        <f t="shared" si="1"/>
        <v>4681000</v>
      </c>
      <c r="E83" s="81">
        <f>gog!D106</f>
        <v>4681000</v>
      </c>
      <c r="F83" s="82">
        <f>gog!E106</f>
        <v>0</v>
      </c>
      <c r="G83" s="80">
        <f t="shared" si="0"/>
        <v>865038.1</v>
      </c>
      <c r="H83" s="81">
        <f>gog!G106</f>
        <v>865038.1</v>
      </c>
      <c r="I83" s="82">
        <f>gog!H106</f>
        <v>0</v>
      </c>
    </row>
    <row r="84" spans="1:9" ht="38.25">
      <c r="A84" s="275">
        <v>64</v>
      </c>
      <c r="B84" s="337" t="s">
        <v>16</v>
      </c>
      <c r="C84" s="188" t="s">
        <v>994</v>
      </c>
      <c r="D84" s="80">
        <f t="shared" si="1"/>
        <v>0</v>
      </c>
      <c r="E84" s="81">
        <f>gog!D110</f>
        <v>0</v>
      </c>
      <c r="F84" s="82">
        <f>gog!E110</f>
        <v>0</v>
      </c>
      <c r="G84" s="80">
        <f t="shared" si="0"/>
        <v>0</v>
      </c>
      <c r="H84" s="81">
        <f>gog!G110</f>
        <v>0</v>
      </c>
      <c r="I84" s="82">
        <f>gog!H110</f>
        <v>0</v>
      </c>
    </row>
    <row r="85" spans="1:9" ht="25.5">
      <c r="A85" s="275">
        <v>65</v>
      </c>
      <c r="B85" s="337" t="s">
        <v>18</v>
      </c>
      <c r="C85" s="188" t="s">
        <v>1357</v>
      </c>
      <c r="D85" s="80">
        <f t="shared" si="1"/>
        <v>0</v>
      </c>
      <c r="E85" s="81">
        <f>gog!D111</f>
        <v>0</v>
      </c>
      <c r="F85" s="82">
        <f>gog!E111</f>
        <v>0</v>
      </c>
      <c r="G85" s="80">
        <f t="shared" si="0"/>
        <v>0</v>
      </c>
      <c r="H85" s="81">
        <f>gog!G111</f>
        <v>0</v>
      </c>
      <c r="I85" s="82">
        <f>gog!H111</f>
        <v>0</v>
      </c>
    </row>
    <row r="86" spans="1:9" ht="63.75">
      <c r="A86" s="345">
        <v>66</v>
      </c>
      <c r="B86" s="343" t="s">
        <v>2074</v>
      </c>
      <c r="C86" s="346" t="s">
        <v>995</v>
      </c>
      <c r="D86" s="347"/>
      <c r="E86" s="81" t="e">
        <f>gog!#REF!</f>
        <v>#REF!</v>
      </c>
      <c r="F86" s="82" t="e">
        <f>gog!#REF!</f>
        <v>#REF!</v>
      </c>
      <c r="G86" s="80"/>
      <c r="H86" s="81" t="e">
        <f>gog!#REF!</f>
        <v>#REF!</v>
      </c>
      <c r="I86" s="82" t="e">
        <f>gog!#REF!</f>
        <v>#REF!</v>
      </c>
    </row>
    <row r="87" spans="1:9" ht="39" thickBot="1">
      <c r="A87" s="295">
        <v>67</v>
      </c>
      <c r="B87" s="339" t="s">
        <v>22</v>
      </c>
      <c r="C87" s="189" t="s">
        <v>1358</v>
      </c>
      <c r="D87" s="191">
        <f>E87+F87</f>
        <v>0</v>
      </c>
      <c r="E87" s="81">
        <f>gog!D114</f>
        <v>0</v>
      </c>
      <c r="F87" s="82">
        <f>gog!E114</f>
        <v>0</v>
      </c>
      <c r="G87" s="191">
        <f>H87+I87</f>
        <v>-2209.56</v>
      </c>
      <c r="H87" s="81">
        <f>gog!G114</f>
        <v>0</v>
      </c>
      <c r="I87" s="82">
        <f>gog!H114</f>
        <v>-2209.56</v>
      </c>
    </row>
    <row r="88" spans="1:9" ht="16.5">
      <c r="A88" s="308">
        <v>68</v>
      </c>
      <c r="B88" s="340" t="s">
        <v>866</v>
      </c>
      <c r="C88" s="193" t="s">
        <v>49</v>
      </c>
      <c r="D88" s="86" t="e">
        <f t="shared" ref="D88:I88" si="2">D11+D70+D87</f>
        <v>#REF!</v>
      </c>
      <c r="E88" s="86" t="e">
        <f t="shared" si="2"/>
        <v>#REF!</v>
      </c>
      <c r="F88" s="86" t="e">
        <f t="shared" si="2"/>
        <v>#REF!</v>
      </c>
      <c r="G88" s="86" t="e">
        <f t="shared" si="2"/>
        <v>#REF!</v>
      </c>
      <c r="H88" s="86" t="e">
        <f t="shared" si="2"/>
        <v>#REF!</v>
      </c>
      <c r="I88" s="194" t="e">
        <f t="shared" si="2"/>
        <v>#REF!</v>
      </c>
    </row>
    <row r="89" spans="1:9" ht="16.5">
      <c r="A89" s="309">
        <v>69</v>
      </c>
      <c r="B89" s="341" t="s">
        <v>50</v>
      </c>
      <c r="C89" s="192" t="s">
        <v>867</v>
      </c>
      <c r="D89" s="87">
        <f>E89+F89</f>
        <v>71300</v>
      </c>
      <c r="E89" s="88">
        <f>F599</f>
        <v>71300</v>
      </c>
      <c r="F89" s="88">
        <f>E598</f>
        <v>0</v>
      </c>
      <c r="G89" s="87">
        <f>H89+I89</f>
        <v>71300</v>
      </c>
      <c r="H89" s="88">
        <f>I599</f>
        <v>71300</v>
      </c>
      <c r="I89" s="89">
        <f>H598</f>
        <v>0</v>
      </c>
    </row>
    <row r="90" spans="1:9" ht="17.25" thickBot="1">
      <c r="A90" s="310">
        <v>70</v>
      </c>
      <c r="B90" s="342" t="s">
        <v>52</v>
      </c>
      <c r="C90" s="195" t="s">
        <v>51</v>
      </c>
      <c r="D90" s="196" t="e">
        <f t="shared" ref="D90:I90" si="3">D88</f>
        <v>#REF!</v>
      </c>
      <c r="E90" s="197" t="e">
        <f t="shared" si="3"/>
        <v>#REF!</v>
      </c>
      <c r="F90" s="197" t="e">
        <f t="shared" si="3"/>
        <v>#REF!</v>
      </c>
      <c r="G90" s="196" t="e">
        <f t="shared" si="3"/>
        <v>#REF!</v>
      </c>
      <c r="H90" s="197" t="e">
        <f t="shared" si="3"/>
        <v>#REF!</v>
      </c>
      <c r="I90" s="198" t="e">
        <f t="shared" si="3"/>
        <v>#REF!</v>
      </c>
    </row>
    <row r="91" spans="1:9" ht="17.25" thickBot="1">
      <c r="A91" s="304"/>
      <c r="B91" s="305"/>
      <c r="C91" s="306"/>
      <c r="D91" s="113"/>
      <c r="E91" s="307"/>
      <c r="F91" s="307"/>
      <c r="G91" s="113"/>
      <c r="H91" s="307"/>
      <c r="I91" s="307"/>
    </row>
    <row r="92" spans="1:9" ht="16.5">
      <c r="A92" s="311"/>
      <c r="B92" s="2672" t="s">
        <v>74</v>
      </c>
      <c r="C92" s="2674" t="s">
        <v>216</v>
      </c>
      <c r="D92" s="2676" t="s">
        <v>2043</v>
      </c>
      <c r="E92" s="2677"/>
      <c r="F92" s="2678"/>
      <c r="G92" s="2676" t="s">
        <v>1016</v>
      </c>
      <c r="H92" s="2677"/>
      <c r="I92" s="2679"/>
    </row>
    <row r="93" spans="1:9" ht="66.75" thickBot="1">
      <c r="A93" s="312"/>
      <c r="B93" s="2673"/>
      <c r="C93" s="2675"/>
      <c r="D93" s="315" t="s">
        <v>2075</v>
      </c>
      <c r="E93" s="316" t="s">
        <v>1018</v>
      </c>
      <c r="F93" s="317" t="s">
        <v>1021</v>
      </c>
      <c r="G93" s="315" t="s">
        <v>2075</v>
      </c>
      <c r="H93" s="316" t="s">
        <v>2077</v>
      </c>
      <c r="I93" s="318" t="s">
        <v>1021</v>
      </c>
    </row>
    <row r="94" spans="1:9" ht="17.25" thickBot="1">
      <c r="A94" s="432"/>
      <c r="B94" s="442"/>
      <c r="C94" s="443"/>
      <c r="D94" s="444" t="s">
        <v>840</v>
      </c>
      <c r="E94" s="444">
        <v>9</v>
      </c>
      <c r="F94" s="445">
        <v>10</v>
      </c>
      <c r="G94" s="444" t="s">
        <v>841</v>
      </c>
      <c r="H94" s="444">
        <v>17</v>
      </c>
      <c r="I94" s="446">
        <v>18</v>
      </c>
    </row>
    <row r="95" spans="1:9" ht="17.25" thickBot="1">
      <c r="A95" s="48">
        <v>80</v>
      </c>
      <c r="B95" s="276" t="s">
        <v>75</v>
      </c>
      <c r="C95" s="60" t="s">
        <v>76</v>
      </c>
      <c r="D95" s="93" t="e">
        <f>E95+F95</f>
        <v>#REF!</v>
      </c>
      <c r="E95" s="94" t="e">
        <f>SUM(E96:E109)</f>
        <v>#REF!</v>
      </c>
      <c r="F95" s="94" t="e">
        <f>F110+F116+F130+F143+#REF!+F146+F148+F114</f>
        <v>#REF!</v>
      </c>
      <c r="G95" s="93" t="e">
        <f>H95+I95</f>
        <v>#REF!</v>
      </c>
      <c r="H95" s="94" t="e">
        <f>SUM(H96:H109)</f>
        <v>#REF!</v>
      </c>
      <c r="I95" s="94" t="e">
        <f>I110+I116+I130+I143+#REF!+I146+I148</f>
        <v>#REF!</v>
      </c>
    </row>
    <row r="96" spans="1:9" ht="16.5">
      <c r="A96" s="290">
        <v>81</v>
      </c>
      <c r="B96" s="17" t="s">
        <v>77</v>
      </c>
      <c r="C96" s="34" t="s">
        <v>78</v>
      </c>
      <c r="D96" s="113">
        <f t="shared" ref="D96:D154" si="4">E96+F96</f>
        <v>0</v>
      </c>
      <c r="E96" s="96">
        <f>E111+E117+E131+E149+E162</f>
        <v>0</v>
      </c>
      <c r="F96" s="97">
        <f>F111+F117+F131+F149</f>
        <v>0</v>
      </c>
      <c r="G96" s="113">
        <f t="shared" ref="G96:G154" si="5">H96+I96</f>
        <v>0</v>
      </c>
      <c r="H96" s="96">
        <f>H111+H117+H131+H149+H162</f>
        <v>0</v>
      </c>
      <c r="I96" s="97">
        <f>I111+I117+I131+I149</f>
        <v>0</v>
      </c>
    </row>
    <row r="97" spans="1:9" ht="16.5">
      <c r="A97" s="275">
        <v>82</v>
      </c>
      <c r="B97" s="18" t="s">
        <v>79</v>
      </c>
      <c r="C97" s="31" t="s">
        <v>80</v>
      </c>
      <c r="D97" s="98">
        <f t="shared" si="4"/>
        <v>0</v>
      </c>
      <c r="E97" s="96">
        <f>E112+E118+E132+E150+E163</f>
        <v>0</v>
      </c>
      <c r="F97" s="97">
        <f>F112+F118+F132+F150</f>
        <v>0</v>
      </c>
      <c r="G97" s="98">
        <f t="shared" si="5"/>
        <v>0</v>
      </c>
      <c r="H97" s="96">
        <f>H112+H118+H132+H150+H163</f>
        <v>0</v>
      </c>
      <c r="I97" s="97">
        <f>I112+I118+I132+I150</f>
        <v>0</v>
      </c>
    </row>
    <row r="98" spans="1:9" ht="16.5">
      <c r="A98" s="275">
        <v>83</v>
      </c>
      <c r="B98" s="18" t="s">
        <v>81</v>
      </c>
      <c r="C98" s="31" t="s">
        <v>82</v>
      </c>
      <c r="D98" s="98" t="e">
        <f t="shared" si="4"/>
        <v>#REF!</v>
      </c>
      <c r="E98" s="96" t="e">
        <f>E113+E119+E133+E151+E164</f>
        <v>#REF!</v>
      </c>
      <c r="F98" s="97">
        <f>F113+F119+F133+F151</f>
        <v>0</v>
      </c>
      <c r="G98" s="98" t="e">
        <f t="shared" si="5"/>
        <v>#REF!</v>
      </c>
      <c r="H98" s="96" t="e">
        <f>H113+H119+H133+H151+H164</f>
        <v>#REF!</v>
      </c>
      <c r="I98" s="97">
        <f>I113+I119+I133+I151</f>
        <v>0</v>
      </c>
    </row>
    <row r="99" spans="1:9" ht="16.5">
      <c r="A99" s="275">
        <v>84</v>
      </c>
      <c r="B99" s="18" t="s">
        <v>83</v>
      </c>
      <c r="C99" s="31" t="s">
        <v>84</v>
      </c>
      <c r="D99" s="98" t="e">
        <f t="shared" si="4"/>
        <v>#REF!</v>
      </c>
      <c r="E99" s="96" t="e">
        <f>E120+#REF!+E134+E152+E165</f>
        <v>#REF!</v>
      </c>
      <c r="F99" s="97">
        <f>F120+F134+F152</f>
        <v>0</v>
      </c>
      <c r="G99" s="98" t="e">
        <f t="shared" si="5"/>
        <v>#REF!</v>
      </c>
      <c r="H99" s="96" t="e">
        <f>H120+#REF!+H134+H152+H165</f>
        <v>#REF!</v>
      </c>
      <c r="I99" s="97">
        <f>I120+I134+I152</f>
        <v>0</v>
      </c>
    </row>
    <row r="100" spans="1:9" ht="16.5">
      <c r="A100" s="275">
        <v>85</v>
      </c>
      <c r="B100" s="18" t="s">
        <v>85</v>
      </c>
      <c r="C100" s="31" t="s">
        <v>86</v>
      </c>
      <c r="D100" s="98">
        <f t="shared" si="4"/>
        <v>0</v>
      </c>
      <c r="E100" s="96">
        <f>E121+E135+E153+E166</f>
        <v>0</v>
      </c>
      <c r="F100" s="97">
        <f>F121+F135+F153</f>
        <v>0</v>
      </c>
      <c r="G100" s="98">
        <f t="shared" si="5"/>
        <v>0</v>
      </c>
      <c r="H100" s="96">
        <f>H121+H135+H153+H166</f>
        <v>0</v>
      </c>
      <c r="I100" s="97">
        <f>I121+I135+I153</f>
        <v>0</v>
      </c>
    </row>
    <row r="101" spans="1:9" ht="16.5">
      <c r="A101" s="275">
        <v>86</v>
      </c>
      <c r="B101" s="18" t="s">
        <v>87</v>
      </c>
      <c r="C101" s="31" t="s">
        <v>88</v>
      </c>
      <c r="D101" s="98" t="e">
        <f t="shared" si="4"/>
        <v>#REF!</v>
      </c>
      <c r="E101" s="96" t="e">
        <f>E122+E136+E154</f>
        <v>#REF!</v>
      </c>
      <c r="F101" s="97">
        <f>F122+F136+F154</f>
        <v>0</v>
      </c>
      <c r="G101" s="98" t="e">
        <f t="shared" si="5"/>
        <v>#REF!</v>
      </c>
      <c r="H101" s="96" t="e">
        <f>H122+H136+H154</f>
        <v>#REF!</v>
      </c>
      <c r="I101" s="97">
        <f>I122+I136+I154</f>
        <v>0</v>
      </c>
    </row>
    <row r="102" spans="1:9" ht="16.5">
      <c r="A102" s="275">
        <v>87</v>
      </c>
      <c r="B102" s="18" t="s">
        <v>23</v>
      </c>
      <c r="C102" s="31" t="s">
        <v>45</v>
      </c>
      <c r="D102" s="98">
        <f t="shared" si="4"/>
        <v>0</v>
      </c>
      <c r="E102" s="96">
        <f>E123+E137+E155+E168</f>
        <v>0</v>
      </c>
      <c r="F102" s="97">
        <f>F123+F137+F155</f>
        <v>0</v>
      </c>
      <c r="G102" s="98">
        <f t="shared" si="5"/>
        <v>0</v>
      </c>
      <c r="H102" s="96">
        <f>H123+H137+H155+H168</f>
        <v>0</v>
      </c>
      <c r="I102" s="97">
        <f>I123+I137+I155</f>
        <v>0</v>
      </c>
    </row>
    <row r="103" spans="1:9" ht="16.5">
      <c r="A103" s="275">
        <v>88</v>
      </c>
      <c r="B103" s="18" t="s">
        <v>89</v>
      </c>
      <c r="C103" s="31" t="s">
        <v>90</v>
      </c>
      <c r="D103" s="98" t="e">
        <f t="shared" si="4"/>
        <v>#REF!</v>
      </c>
      <c r="E103" s="96" t="e">
        <f>E124+E138+E156+E169</f>
        <v>#REF!</v>
      </c>
      <c r="F103" s="97">
        <f>F124+F138</f>
        <v>0</v>
      </c>
      <c r="G103" s="98" t="e">
        <f t="shared" si="5"/>
        <v>#REF!</v>
      </c>
      <c r="H103" s="96" t="e">
        <f>H124+H138+H156+H169</f>
        <v>#REF!</v>
      </c>
      <c r="I103" s="97">
        <f>I124+I138</f>
        <v>0</v>
      </c>
    </row>
    <row r="104" spans="1:9" ht="16.5">
      <c r="A104" s="275">
        <v>89</v>
      </c>
      <c r="B104" s="18" t="s">
        <v>91</v>
      </c>
      <c r="C104" s="31" t="s">
        <v>92</v>
      </c>
      <c r="D104" s="98" t="e">
        <f t="shared" si="4"/>
        <v>#REF!</v>
      </c>
      <c r="E104" s="96" t="e">
        <f>E125+#REF!+E139+E157+E169</f>
        <v>#REF!</v>
      </c>
      <c r="F104" s="97" t="e">
        <f>F125+F139+F157</f>
        <v>#REF!</v>
      </c>
      <c r="G104" s="98" t="e">
        <f t="shared" si="5"/>
        <v>#REF!</v>
      </c>
      <c r="H104" s="96" t="e">
        <f>H125+#REF!+H139+H157+H169</f>
        <v>#REF!</v>
      </c>
      <c r="I104" s="97" t="e">
        <f>I125+I139+I157</f>
        <v>#REF!</v>
      </c>
    </row>
    <row r="105" spans="1:9" ht="16.5">
      <c r="A105" s="275">
        <v>90</v>
      </c>
      <c r="B105" s="18" t="s">
        <v>93</v>
      </c>
      <c r="C105" s="31" t="s">
        <v>94</v>
      </c>
      <c r="D105" s="98" t="e">
        <f t="shared" si="4"/>
        <v>#REF!</v>
      </c>
      <c r="E105" s="99" t="e">
        <f>#REF!</f>
        <v>#REF!</v>
      </c>
      <c r="F105" s="100" t="e">
        <f>#REF!</f>
        <v>#REF!</v>
      </c>
      <c r="G105" s="98" t="e">
        <f t="shared" si="5"/>
        <v>#REF!</v>
      </c>
      <c r="H105" s="99" t="e">
        <f>#REF!</f>
        <v>#REF!</v>
      </c>
      <c r="I105" s="100" t="e">
        <f>#REF!</f>
        <v>#REF!</v>
      </c>
    </row>
    <row r="106" spans="1:9" ht="16.5">
      <c r="A106" s="275">
        <v>91</v>
      </c>
      <c r="B106" s="18" t="s">
        <v>996</v>
      </c>
      <c r="C106" s="31" t="s">
        <v>1360</v>
      </c>
      <c r="D106" s="98" t="e">
        <f t="shared" si="4"/>
        <v>#REF!</v>
      </c>
      <c r="E106" s="99" t="e">
        <f>E126</f>
        <v>#REF!</v>
      </c>
      <c r="F106" s="100"/>
      <c r="G106" s="98" t="e">
        <f t="shared" si="5"/>
        <v>#REF!</v>
      </c>
      <c r="H106" s="99" t="e">
        <f>H126</f>
        <v>#REF!</v>
      </c>
      <c r="I106" s="100" t="e">
        <f>I126</f>
        <v>#REF!</v>
      </c>
    </row>
    <row r="107" spans="1:9" ht="16.5">
      <c r="A107" s="275">
        <v>92</v>
      </c>
      <c r="B107" s="18" t="s">
        <v>95</v>
      </c>
      <c r="C107" s="31" t="s">
        <v>96</v>
      </c>
      <c r="D107" s="98" t="e">
        <f t="shared" si="4"/>
        <v>#REF!</v>
      </c>
      <c r="E107" s="99" t="e">
        <f>E127+E140+E158+E147+E144+E171</f>
        <v>#REF!</v>
      </c>
      <c r="F107" s="100">
        <f>F127+F140+F144+F147</f>
        <v>0</v>
      </c>
      <c r="G107" s="98" t="e">
        <f t="shared" si="5"/>
        <v>#REF!</v>
      </c>
      <c r="H107" s="99" t="e">
        <f>H127+H140+H158+H147+H144+H171</f>
        <v>#REF!</v>
      </c>
      <c r="I107" s="100">
        <f>I127+I140+I144+I147</f>
        <v>0</v>
      </c>
    </row>
    <row r="108" spans="1:9" ht="16.5">
      <c r="A108" s="275">
        <v>93</v>
      </c>
      <c r="B108" s="18" t="s">
        <v>97</v>
      </c>
      <c r="C108" s="31" t="s">
        <v>99</v>
      </c>
      <c r="D108" s="98" t="e">
        <f t="shared" si="4"/>
        <v>#REF!</v>
      </c>
      <c r="E108" s="99" t="e">
        <f>E128+E141+E159+E172</f>
        <v>#REF!</v>
      </c>
      <c r="F108" s="100" t="e">
        <f>F128+F141+F159</f>
        <v>#REF!</v>
      </c>
      <c r="G108" s="98" t="e">
        <f t="shared" si="5"/>
        <v>#REF!</v>
      </c>
      <c r="H108" s="99" t="e">
        <f>H128+H141+H159+H172</f>
        <v>#REF!</v>
      </c>
      <c r="I108" s="100" t="e">
        <f>I128+I141+I159</f>
        <v>#REF!</v>
      </c>
    </row>
    <row r="109" spans="1:9" ht="17.25" thickBot="1">
      <c r="A109" s="295">
        <v>94</v>
      </c>
      <c r="B109" s="19" t="s">
        <v>100</v>
      </c>
      <c r="C109" s="32" t="s">
        <v>101</v>
      </c>
      <c r="D109" s="113" t="e">
        <f t="shared" si="4"/>
        <v>#REF!</v>
      </c>
      <c r="E109" s="102" t="e">
        <f>E115+E129+#REF!+E142+E160+E173</f>
        <v>#REF!</v>
      </c>
      <c r="F109" s="103" t="e">
        <f>F129+F142+F160+F115</f>
        <v>#REF!</v>
      </c>
      <c r="G109" s="113" t="e">
        <f t="shared" si="5"/>
        <v>#REF!</v>
      </c>
      <c r="H109" s="102" t="e">
        <f>H115+H129+#REF!+H142+H160+H173</f>
        <v>#REF!</v>
      </c>
      <c r="I109" s="103" t="e">
        <f>I129+I142+I160</f>
        <v>#REF!</v>
      </c>
    </row>
    <row r="110" spans="1:9" ht="48" thickBot="1">
      <c r="A110" s="48">
        <v>95</v>
      </c>
      <c r="B110" s="517" t="s">
        <v>24</v>
      </c>
      <c r="C110" s="500" t="s">
        <v>102</v>
      </c>
      <c r="D110" s="104">
        <f t="shared" si="4"/>
        <v>4701550.3499999996</v>
      </c>
      <c r="E110" s="105">
        <f>SUM(E111:E113)</f>
        <v>0</v>
      </c>
      <c r="F110" s="106">
        <f>mo!L70</f>
        <v>4701550.3499999996</v>
      </c>
      <c r="G110" s="104">
        <f t="shared" si="5"/>
        <v>1125396.45</v>
      </c>
      <c r="H110" s="107">
        <f>SUM(H111:H113)</f>
        <v>0</v>
      </c>
      <c r="I110" s="108">
        <f>mo!M70</f>
        <v>1125396.45</v>
      </c>
    </row>
    <row r="111" spans="1:9" ht="16.5">
      <c r="A111" s="290">
        <v>96</v>
      </c>
      <c r="B111" s="17" t="s">
        <v>77</v>
      </c>
      <c r="C111" s="34" t="s">
        <v>1727</v>
      </c>
      <c r="D111" s="113">
        <f t="shared" si="4"/>
        <v>0</v>
      </c>
      <c r="E111" s="96">
        <f>gog!D136</f>
        <v>0</v>
      </c>
      <c r="F111" s="97">
        <f>gog!E136</f>
        <v>0</v>
      </c>
      <c r="G111" s="96">
        <f>H111+I111</f>
        <v>0</v>
      </c>
      <c r="H111" s="96">
        <f>gog!G136</f>
        <v>0</v>
      </c>
      <c r="I111" s="97">
        <f>gog!H136</f>
        <v>0</v>
      </c>
    </row>
    <row r="112" spans="1:9" ht="16.5">
      <c r="A112" s="275">
        <v>97</v>
      </c>
      <c r="B112" s="18" t="s">
        <v>79</v>
      </c>
      <c r="C112" s="34" t="s">
        <v>1728</v>
      </c>
      <c r="D112" s="98">
        <f t="shared" si="4"/>
        <v>0</v>
      </c>
      <c r="E112" s="96">
        <f>gog!D137</f>
        <v>0</v>
      </c>
      <c r="F112" s="97">
        <f>gog!E137</f>
        <v>0</v>
      </c>
      <c r="G112" s="96">
        <f>H112+I112</f>
        <v>0</v>
      </c>
      <c r="H112" s="96">
        <f>gog!G137</f>
        <v>0</v>
      </c>
      <c r="I112" s="97">
        <f>gog!H137</f>
        <v>0</v>
      </c>
    </row>
    <row r="113" spans="1:9" ht="17.25" thickBot="1">
      <c r="A113" s="275">
        <v>98</v>
      </c>
      <c r="B113" s="19" t="s">
        <v>81</v>
      </c>
      <c r="C113" s="34" t="s">
        <v>1729</v>
      </c>
      <c r="D113" s="113">
        <f t="shared" si="4"/>
        <v>0</v>
      </c>
      <c r="E113" s="96">
        <f>gog!D138</f>
        <v>0</v>
      </c>
      <c r="F113" s="97">
        <f>gog!E138</f>
        <v>0</v>
      </c>
      <c r="G113" s="96">
        <f>H113+I113</f>
        <v>0</v>
      </c>
      <c r="H113" s="96">
        <f>gog!G138</f>
        <v>0</v>
      </c>
      <c r="I113" s="97">
        <f>gog!H138</f>
        <v>0</v>
      </c>
    </row>
    <row r="114" spans="1:9" ht="79.5" thickBot="1">
      <c r="A114" s="295">
        <v>99</v>
      </c>
      <c r="B114" s="434" t="s">
        <v>33</v>
      </c>
      <c r="C114" s="433" t="s">
        <v>34</v>
      </c>
      <c r="D114" s="435">
        <f t="shared" si="4"/>
        <v>0</v>
      </c>
      <c r="E114" s="436">
        <f>E115</f>
        <v>0</v>
      </c>
      <c r="F114" s="437">
        <f>F115</f>
        <v>0</v>
      </c>
      <c r="G114" s="435">
        <f t="shared" si="5"/>
        <v>6700</v>
      </c>
      <c r="H114" s="385">
        <f>H115</f>
        <v>0</v>
      </c>
      <c r="I114" s="438">
        <f>mo!M74</f>
        <v>6700</v>
      </c>
    </row>
    <row r="115" spans="1:9" ht="17.25" thickBot="1">
      <c r="A115" s="48">
        <v>100</v>
      </c>
      <c r="B115" s="441" t="s">
        <v>100</v>
      </c>
      <c r="C115" s="424" t="s">
        <v>1724</v>
      </c>
      <c r="D115" s="104">
        <f t="shared" si="4"/>
        <v>0</v>
      </c>
      <c r="E115" s="117">
        <f>gog!D149</f>
        <v>0</v>
      </c>
      <c r="F115" s="118">
        <f>gog!E149</f>
        <v>0</v>
      </c>
      <c r="G115" s="104">
        <f t="shared" si="5"/>
        <v>0</v>
      </c>
      <c r="H115" s="119">
        <f>gog!G149</f>
        <v>0</v>
      </c>
      <c r="I115" s="120">
        <f>gog!H149</f>
        <v>0</v>
      </c>
    </row>
    <row r="116" spans="1:9" ht="79.5" thickBot="1">
      <c r="A116" s="290">
        <v>101</v>
      </c>
      <c r="B116" s="509" t="s">
        <v>103</v>
      </c>
      <c r="C116" s="516" t="s">
        <v>104</v>
      </c>
      <c r="D116" s="101" t="e">
        <f t="shared" si="4"/>
        <v>#REF!</v>
      </c>
      <c r="E116" s="439" t="e">
        <f>SUM(E117:E129)</f>
        <v>#REF!</v>
      </c>
      <c r="F116" s="158" t="e">
        <f>SUM(F117:F129)</f>
        <v>#REF!</v>
      </c>
      <c r="G116" s="101" t="e">
        <f t="shared" si="5"/>
        <v>#REF!</v>
      </c>
      <c r="H116" s="440" t="e">
        <f>SUM(H117:H129)</f>
        <v>#REF!</v>
      </c>
      <c r="I116" s="190">
        <f>mo!M86</f>
        <v>7558674.2699999996</v>
      </c>
    </row>
    <row r="117" spans="1:9" ht="16.5">
      <c r="A117" s="275">
        <v>102</v>
      </c>
      <c r="B117" s="17" t="s">
        <v>77</v>
      </c>
      <c r="C117" s="34" t="s">
        <v>1730</v>
      </c>
      <c r="D117" s="95">
        <f t="shared" si="4"/>
        <v>0</v>
      </c>
      <c r="E117" s="96">
        <f>gog!D153</f>
        <v>0</v>
      </c>
      <c r="F117" s="97">
        <f>gog!E153</f>
        <v>0</v>
      </c>
      <c r="G117" s="95">
        <f t="shared" si="5"/>
        <v>0</v>
      </c>
      <c r="H117" s="96">
        <f>gog!G153</f>
        <v>0</v>
      </c>
      <c r="I117" s="97">
        <f>gog!H153</f>
        <v>0</v>
      </c>
    </row>
    <row r="118" spans="1:9" ht="16.5">
      <c r="A118" s="275">
        <v>103</v>
      </c>
      <c r="B118" s="18" t="s">
        <v>79</v>
      </c>
      <c r="C118" s="34" t="s">
        <v>1731</v>
      </c>
      <c r="D118" s="98">
        <f t="shared" si="4"/>
        <v>0</v>
      </c>
      <c r="E118" s="96">
        <f>gog!D154</f>
        <v>0</v>
      </c>
      <c r="F118" s="97">
        <f>gog!E154</f>
        <v>0</v>
      </c>
      <c r="G118" s="98">
        <f t="shared" si="5"/>
        <v>0</v>
      </c>
      <c r="H118" s="96">
        <f>gog!G154</f>
        <v>0</v>
      </c>
      <c r="I118" s="97">
        <f>gog!H154</f>
        <v>0</v>
      </c>
    </row>
    <row r="119" spans="1:9" ht="16.5">
      <c r="A119" s="275">
        <v>104</v>
      </c>
      <c r="B119" s="18" t="s">
        <v>81</v>
      </c>
      <c r="C119" s="34" t="s">
        <v>1732</v>
      </c>
      <c r="D119" s="98">
        <f t="shared" si="4"/>
        <v>0</v>
      </c>
      <c r="E119" s="96">
        <f>gog!D155</f>
        <v>0</v>
      </c>
      <c r="F119" s="97">
        <f>gog!E155</f>
        <v>0</v>
      </c>
      <c r="G119" s="98">
        <f t="shared" si="5"/>
        <v>0</v>
      </c>
      <c r="H119" s="96">
        <f>gog!G155</f>
        <v>0</v>
      </c>
      <c r="I119" s="97">
        <f>gog!H155</f>
        <v>0</v>
      </c>
    </row>
    <row r="120" spans="1:9" ht="16.5">
      <c r="A120" s="275">
        <v>105</v>
      </c>
      <c r="B120" s="18" t="s">
        <v>83</v>
      </c>
      <c r="C120" s="34" t="s">
        <v>1733</v>
      </c>
      <c r="D120" s="98">
        <f t="shared" si="4"/>
        <v>0</v>
      </c>
      <c r="E120" s="96">
        <f>gog!D156</f>
        <v>0</v>
      </c>
      <c r="F120" s="97">
        <f>gog!E156</f>
        <v>0</v>
      </c>
      <c r="G120" s="98">
        <f t="shared" si="5"/>
        <v>0</v>
      </c>
      <c r="H120" s="96">
        <f>gog!G156</f>
        <v>0</v>
      </c>
      <c r="I120" s="97">
        <f>gog!H156</f>
        <v>0</v>
      </c>
    </row>
    <row r="121" spans="1:9" ht="16.5">
      <c r="A121" s="275">
        <v>106</v>
      </c>
      <c r="B121" s="18" t="s">
        <v>85</v>
      </c>
      <c r="C121" s="34" t="s">
        <v>1734</v>
      </c>
      <c r="D121" s="98">
        <f t="shared" si="4"/>
        <v>0</v>
      </c>
      <c r="E121" s="96">
        <f>gog!D158</f>
        <v>0</v>
      </c>
      <c r="F121" s="97">
        <f>gog!E158</f>
        <v>0</v>
      </c>
      <c r="G121" s="98">
        <f t="shared" si="5"/>
        <v>0</v>
      </c>
      <c r="H121" s="96">
        <f>gog!G158</f>
        <v>0</v>
      </c>
      <c r="I121" s="97">
        <f>gog!H158</f>
        <v>0</v>
      </c>
    </row>
    <row r="122" spans="1:9" ht="16.5">
      <c r="A122" s="275">
        <v>107</v>
      </c>
      <c r="B122" s="18" t="s">
        <v>87</v>
      </c>
      <c r="C122" s="34" t="s">
        <v>1735</v>
      </c>
      <c r="D122" s="98">
        <f t="shared" si="4"/>
        <v>0</v>
      </c>
      <c r="E122" s="96">
        <f>gog!D159</f>
        <v>0</v>
      </c>
      <c r="F122" s="97">
        <f>gog!E159</f>
        <v>0</v>
      </c>
      <c r="G122" s="98">
        <f t="shared" si="5"/>
        <v>0</v>
      </c>
      <c r="H122" s="96">
        <f>gog!G159</f>
        <v>0</v>
      </c>
      <c r="I122" s="97">
        <f>gog!H159</f>
        <v>0</v>
      </c>
    </row>
    <row r="123" spans="1:9" ht="16.5">
      <c r="A123" s="275">
        <v>108</v>
      </c>
      <c r="B123" s="18" t="s">
        <v>23</v>
      </c>
      <c r="C123" s="34" t="s">
        <v>1736</v>
      </c>
      <c r="D123" s="98">
        <f t="shared" si="4"/>
        <v>0</v>
      </c>
      <c r="E123" s="96">
        <f>gog!D161</f>
        <v>0</v>
      </c>
      <c r="F123" s="97">
        <f>gog!E161</f>
        <v>0</v>
      </c>
      <c r="G123" s="98">
        <f t="shared" si="5"/>
        <v>0</v>
      </c>
      <c r="H123" s="96">
        <f>gog!G161</f>
        <v>0</v>
      </c>
      <c r="I123" s="97">
        <f>gog!H161</f>
        <v>0</v>
      </c>
    </row>
    <row r="124" spans="1:9" ht="16.5">
      <c r="A124" s="275">
        <v>109</v>
      </c>
      <c r="B124" s="18" t="s">
        <v>89</v>
      </c>
      <c r="C124" s="34" t="s">
        <v>1737</v>
      </c>
      <c r="D124" s="98">
        <f t="shared" si="4"/>
        <v>0</v>
      </c>
      <c r="E124" s="96">
        <f>gog!D163</f>
        <v>0</v>
      </c>
      <c r="F124" s="97">
        <f>gog!E163</f>
        <v>0</v>
      </c>
      <c r="G124" s="98">
        <f t="shared" si="5"/>
        <v>0</v>
      </c>
      <c r="H124" s="96">
        <f>gog!G163</f>
        <v>0</v>
      </c>
      <c r="I124" s="97">
        <f>gog!H163</f>
        <v>0</v>
      </c>
    </row>
    <row r="125" spans="1:9" ht="16.5">
      <c r="A125" s="275">
        <v>110</v>
      </c>
      <c r="B125" s="18" t="s">
        <v>91</v>
      </c>
      <c r="C125" s="34" t="s">
        <v>1738</v>
      </c>
      <c r="D125" s="98" t="e">
        <f t="shared" si="4"/>
        <v>#REF!</v>
      </c>
      <c r="E125" s="96" t="e">
        <f>gog!#REF!</f>
        <v>#REF!</v>
      </c>
      <c r="F125" s="97" t="e">
        <f>gog!#REF!</f>
        <v>#REF!</v>
      </c>
      <c r="G125" s="98" t="e">
        <f t="shared" si="5"/>
        <v>#REF!</v>
      </c>
      <c r="H125" s="96" t="e">
        <f>gog!#REF!</f>
        <v>#REF!</v>
      </c>
      <c r="I125" s="97" t="e">
        <f>gog!#REF!</f>
        <v>#REF!</v>
      </c>
    </row>
    <row r="126" spans="1:9" ht="16.5">
      <c r="A126" s="275">
        <v>111</v>
      </c>
      <c r="B126" s="18" t="s">
        <v>996</v>
      </c>
      <c r="C126" s="34" t="s">
        <v>1739</v>
      </c>
      <c r="D126" s="98" t="e">
        <f t="shared" si="4"/>
        <v>#REF!</v>
      </c>
      <c r="E126" s="96" t="e">
        <f>gog!#REF!</f>
        <v>#REF!</v>
      </c>
      <c r="F126" s="97" t="e">
        <f>gog!#REF!</f>
        <v>#REF!</v>
      </c>
      <c r="G126" s="98" t="e">
        <f t="shared" si="5"/>
        <v>#REF!</v>
      </c>
      <c r="H126" s="96" t="e">
        <f>gog!#REF!</f>
        <v>#REF!</v>
      </c>
      <c r="I126" s="97" t="e">
        <f>gog!#REF!</f>
        <v>#REF!</v>
      </c>
    </row>
    <row r="127" spans="1:9" ht="16.5">
      <c r="A127" s="275">
        <v>112</v>
      </c>
      <c r="B127" s="18" t="s">
        <v>95</v>
      </c>
      <c r="C127" s="34" t="s">
        <v>1740</v>
      </c>
      <c r="D127" s="98">
        <f t="shared" si="4"/>
        <v>0</v>
      </c>
      <c r="E127" s="96">
        <f>gog!D168</f>
        <v>0</v>
      </c>
      <c r="F127" s="97">
        <f>gog!E168</f>
        <v>0</v>
      </c>
      <c r="G127" s="98">
        <f t="shared" si="5"/>
        <v>0</v>
      </c>
      <c r="H127" s="96">
        <f>gog!G168</f>
        <v>0</v>
      </c>
      <c r="I127" s="97">
        <f>gog!H168</f>
        <v>0</v>
      </c>
    </row>
    <row r="128" spans="1:9" ht="16.5">
      <c r="A128" s="275">
        <v>113</v>
      </c>
      <c r="B128" s="18" t="s">
        <v>97</v>
      </c>
      <c r="C128" s="34" t="s">
        <v>1741</v>
      </c>
      <c r="D128" s="98" t="e">
        <f t="shared" si="4"/>
        <v>#REF!</v>
      </c>
      <c r="E128" s="96" t="e">
        <f>gog!#REF!</f>
        <v>#REF!</v>
      </c>
      <c r="F128" s="97" t="e">
        <f>gog!#REF!</f>
        <v>#REF!</v>
      </c>
      <c r="G128" s="98" t="e">
        <f t="shared" si="5"/>
        <v>#REF!</v>
      </c>
      <c r="H128" s="96" t="e">
        <f>gog!#REF!</f>
        <v>#REF!</v>
      </c>
      <c r="I128" s="97" t="e">
        <f>gog!#REF!</f>
        <v>#REF!</v>
      </c>
    </row>
    <row r="129" spans="1:9" ht="17.25" thickBot="1">
      <c r="A129" s="295">
        <v>114</v>
      </c>
      <c r="B129" s="19" t="s">
        <v>100</v>
      </c>
      <c r="C129" s="36" t="s">
        <v>1742</v>
      </c>
      <c r="D129" s="113" t="e">
        <f t="shared" si="4"/>
        <v>#REF!</v>
      </c>
      <c r="E129" s="96" t="e">
        <f>gog!#REF!</f>
        <v>#REF!</v>
      </c>
      <c r="F129" s="97" t="e">
        <f>gog!#REF!</f>
        <v>#REF!</v>
      </c>
      <c r="G129" s="113" t="e">
        <f t="shared" si="5"/>
        <v>#REF!</v>
      </c>
      <c r="H129" s="96" t="e">
        <f>gog!#REF!</f>
        <v>#REF!</v>
      </c>
      <c r="I129" s="97" t="e">
        <f>gog!#REF!</f>
        <v>#REF!</v>
      </c>
    </row>
    <row r="130" spans="1:9" ht="79.5" thickBot="1">
      <c r="A130" s="48">
        <v>119</v>
      </c>
      <c r="B130" s="293" t="s">
        <v>35</v>
      </c>
      <c r="C130" s="181" t="s">
        <v>122</v>
      </c>
      <c r="D130" s="150" t="e">
        <f t="shared" si="4"/>
        <v>#REF!</v>
      </c>
      <c r="E130" s="105" t="e">
        <f>SUM(E131:E142)</f>
        <v>#REF!</v>
      </c>
      <c r="F130" s="106"/>
      <c r="G130" s="150" t="e">
        <f t="shared" si="5"/>
        <v>#REF!</v>
      </c>
      <c r="H130" s="107" t="e">
        <f>SUM(H131:H142)</f>
        <v>#REF!</v>
      </c>
      <c r="I130" s="128"/>
    </row>
    <row r="131" spans="1:9" ht="16.5">
      <c r="A131" s="290">
        <v>120</v>
      </c>
      <c r="B131" s="17" t="s">
        <v>77</v>
      </c>
      <c r="C131" s="34" t="s">
        <v>1743</v>
      </c>
      <c r="D131" s="113">
        <f t="shared" si="4"/>
        <v>0</v>
      </c>
      <c r="E131" s="544">
        <f>gog!D195</f>
        <v>0</v>
      </c>
      <c r="F131" s="97"/>
      <c r="G131" s="113">
        <f t="shared" si="5"/>
        <v>0</v>
      </c>
      <c r="H131" s="544">
        <f>gog!G195</f>
        <v>0</v>
      </c>
      <c r="I131" s="97"/>
    </row>
    <row r="132" spans="1:9" ht="16.5">
      <c r="A132" s="275">
        <v>121</v>
      </c>
      <c r="B132" s="18" t="s">
        <v>79</v>
      </c>
      <c r="C132" s="34" t="s">
        <v>1744</v>
      </c>
      <c r="D132" s="98">
        <f t="shared" si="4"/>
        <v>0</v>
      </c>
      <c r="E132" s="544">
        <f>gog!D196</f>
        <v>0</v>
      </c>
      <c r="F132" s="100"/>
      <c r="G132" s="98">
        <f t="shared" si="5"/>
        <v>0</v>
      </c>
      <c r="H132" s="544">
        <f>gog!G196</f>
        <v>0</v>
      </c>
      <c r="I132" s="100"/>
    </row>
    <row r="133" spans="1:9" ht="16.5">
      <c r="A133" s="275">
        <v>122</v>
      </c>
      <c r="B133" s="18" t="s">
        <v>81</v>
      </c>
      <c r="C133" s="34" t="s">
        <v>1745</v>
      </c>
      <c r="D133" s="98">
        <f t="shared" si="4"/>
        <v>0</v>
      </c>
      <c r="E133" s="544">
        <f>gog!D197</f>
        <v>0</v>
      </c>
      <c r="F133" s="100"/>
      <c r="G133" s="98">
        <f t="shared" si="5"/>
        <v>0</v>
      </c>
      <c r="H133" s="544">
        <f>gog!G197</f>
        <v>0</v>
      </c>
      <c r="I133" s="100"/>
    </row>
    <row r="134" spans="1:9" ht="16.5">
      <c r="A134" s="275">
        <v>123</v>
      </c>
      <c r="B134" s="18" t="s">
        <v>83</v>
      </c>
      <c r="C134" s="34" t="s">
        <v>1746</v>
      </c>
      <c r="D134" s="98">
        <f t="shared" si="4"/>
        <v>0</v>
      </c>
      <c r="E134" s="544">
        <f>gog!D198</f>
        <v>0</v>
      </c>
      <c r="F134" s="100"/>
      <c r="G134" s="98">
        <f t="shared" si="5"/>
        <v>0</v>
      </c>
      <c r="H134" s="544">
        <f>gog!G198</f>
        <v>0</v>
      </c>
      <c r="I134" s="100"/>
    </row>
    <row r="135" spans="1:9" ht="16.5">
      <c r="A135" s="275">
        <v>124</v>
      </c>
      <c r="B135" s="18" t="s">
        <v>85</v>
      </c>
      <c r="C135" s="34" t="s">
        <v>1747</v>
      </c>
      <c r="D135" s="98">
        <f t="shared" si="4"/>
        <v>0</v>
      </c>
      <c r="E135" s="544">
        <f>gog!D200</f>
        <v>0</v>
      </c>
      <c r="F135" s="100"/>
      <c r="G135" s="98">
        <f t="shared" si="5"/>
        <v>0</v>
      </c>
      <c r="H135" s="544">
        <f>gog!G200</f>
        <v>0</v>
      </c>
      <c r="I135" s="100"/>
    </row>
    <row r="136" spans="1:9" ht="16.5">
      <c r="A136" s="275">
        <v>125</v>
      </c>
      <c r="B136" s="18" t="s">
        <v>87</v>
      </c>
      <c r="C136" s="34" t="s">
        <v>1750</v>
      </c>
      <c r="D136" s="98">
        <f t="shared" si="4"/>
        <v>0</v>
      </c>
      <c r="E136" s="544">
        <f>gog!D202</f>
        <v>0</v>
      </c>
      <c r="F136" s="100"/>
      <c r="G136" s="98">
        <f t="shared" si="5"/>
        <v>0</v>
      </c>
      <c r="H136" s="544">
        <f>gog!G202</f>
        <v>0</v>
      </c>
      <c r="I136" s="100"/>
    </row>
    <row r="137" spans="1:9" ht="16.5">
      <c r="A137" s="275">
        <v>126</v>
      </c>
      <c r="B137" s="18" t="s">
        <v>25</v>
      </c>
      <c r="C137" s="34" t="s">
        <v>1751</v>
      </c>
      <c r="D137" s="98">
        <f t="shared" si="4"/>
        <v>0</v>
      </c>
      <c r="E137" s="544">
        <f>gog!D203</f>
        <v>0</v>
      </c>
      <c r="F137" s="100"/>
      <c r="G137" s="98">
        <f t="shared" si="5"/>
        <v>0</v>
      </c>
      <c r="H137" s="544">
        <f>gog!G203</f>
        <v>0</v>
      </c>
      <c r="I137" s="100"/>
    </row>
    <row r="138" spans="1:9" ht="16.5">
      <c r="A138" s="275">
        <v>127</v>
      </c>
      <c r="B138" s="18" t="s">
        <v>89</v>
      </c>
      <c r="C138" s="34" t="s">
        <v>1752</v>
      </c>
      <c r="D138" s="98">
        <f t="shared" si="4"/>
        <v>0</v>
      </c>
      <c r="E138" s="544">
        <f>gog!D204</f>
        <v>0</v>
      </c>
      <c r="F138" s="100"/>
      <c r="G138" s="98">
        <f t="shared" si="5"/>
        <v>0</v>
      </c>
      <c r="H138" s="544">
        <f>gog!G204</f>
        <v>0</v>
      </c>
      <c r="I138" s="100"/>
    </row>
    <row r="139" spans="1:9" ht="16.5">
      <c r="A139" s="275">
        <v>128</v>
      </c>
      <c r="B139" s="18" t="s">
        <v>91</v>
      </c>
      <c r="C139" s="34" t="s">
        <v>1748</v>
      </c>
      <c r="D139" s="98">
        <f t="shared" si="4"/>
        <v>0</v>
      </c>
      <c r="E139" s="544">
        <f>gog!D206</f>
        <v>0</v>
      </c>
      <c r="F139" s="100"/>
      <c r="G139" s="98">
        <f t="shared" si="5"/>
        <v>0</v>
      </c>
      <c r="H139" s="544">
        <f>gog!G206</f>
        <v>0</v>
      </c>
      <c r="I139" s="100"/>
    </row>
    <row r="140" spans="1:9" ht="16.5">
      <c r="A140" s="275">
        <v>129</v>
      </c>
      <c r="B140" s="18" t="s">
        <v>95</v>
      </c>
      <c r="C140" s="34" t="s">
        <v>1749</v>
      </c>
      <c r="D140" s="98">
        <f t="shared" si="4"/>
        <v>0</v>
      </c>
      <c r="E140" s="544">
        <f>gog!D207</f>
        <v>0</v>
      </c>
      <c r="F140" s="100"/>
      <c r="G140" s="98">
        <f t="shared" si="5"/>
        <v>0</v>
      </c>
      <c r="H140" s="544">
        <f>gog!G207</f>
        <v>0</v>
      </c>
      <c r="I140" s="100"/>
    </row>
    <row r="141" spans="1:9" ht="16.5">
      <c r="A141" s="275">
        <v>130</v>
      </c>
      <c r="B141" s="18" t="s">
        <v>97</v>
      </c>
      <c r="C141" s="34" t="s">
        <v>1753</v>
      </c>
      <c r="D141" s="98" t="e">
        <f t="shared" si="4"/>
        <v>#REF!</v>
      </c>
      <c r="E141" s="544" t="e">
        <f>gog!#REF!</f>
        <v>#REF!</v>
      </c>
      <c r="F141" s="100"/>
      <c r="G141" s="98" t="e">
        <f t="shared" si="5"/>
        <v>#REF!</v>
      </c>
      <c r="H141" s="544" t="e">
        <f>gog!#REF!</f>
        <v>#REF!</v>
      </c>
      <c r="I141" s="100"/>
    </row>
    <row r="142" spans="1:9" ht="17.25" thickBot="1">
      <c r="A142" s="295">
        <v>131</v>
      </c>
      <c r="B142" s="19" t="s">
        <v>100</v>
      </c>
      <c r="C142" s="36" t="s">
        <v>1754</v>
      </c>
      <c r="D142" s="113" t="e">
        <f t="shared" si="4"/>
        <v>#REF!</v>
      </c>
      <c r="E142" s="544" t="e">
        <f>gog!#REF!</f>
        <v>#REF!</v>
      </c>
      <c r="F142" s="103"/>
      <c r="G142" s="113" t="e">
        <f t="shared" si="5"/>
        <v>#REF!</v>
      </c>
      <c r="H142" s="544" t="e">
        <f>gog!#REF!</f>
        <v>#REF!</v>
      </c>
      <c r="I142" s="103"/>
    </row>
    <row r="143" spans="1:9" ht="32.25" thickBot="1">
      <c r="A143" s="48">
        <v>132</v>
      </c>
      <c r="B143" s="729" t="s">
        <v>124</v>
      </c>
      <c r="C143" s="433" t="s">
        <v>125</v>
      </c>
      <c r="D143" s="435">
        <f t="shared" si="4"/>
        <v>0</v>
      </c>
      <c r="E143" s="730">
        <f>E144</f>
        <v>0</v>
      </c>
      <c r="F143" s="378">
        <f>F144</f>
        <v>0</v>
      </c>
      <c r="G143" s="435">
        <f t="shared" si="5"/>
        <v>0</v>
      </c>
      <c r="H143" s="608">
        <f>H144</f>
        <v>0</v>
      </c>
      <c r="I143" s="475">
        <f>mo!M111</f>
        <v>0</v>
      </c>
    </row>
    <row r="144" spans="1:9" ht="29.25" customHeight="1">
      <c r="A144" s="432">
        <v>133</v>
      </c>
      <c r="B144" s="9" t="s">
        <v>1469</v>
      </c>
      <c r="C144" s="43" t="s">
        <v>1755</v>
      </c>
      <c r="D144" s="98">
        <f t="shared" si="4"/>
        <v>0</v>
      </c>
      <c r="E144" s="648">
        <f>gog!D247</f>
        <v>0</v>
      </c>
      <c r="F144" s="100">
        <f>gog!E247</f>
        <v>0</v>
      </c>
      <c r="G144" s="98">
        <f t="shared" si="5"/>
        <v>0</v>
      </c>
      <c r="H144" s="111">
        <f>gog!G247</f>
        <v>0</v>
      </c>
      <c r="I144" s="126">
        <f>gog!H247</f>
        <v>0</v>
      </c>
    </row>
    <row r="145" spans="1:9" ht="27" thickBot="1">
      <c r="A145" s="561"/>
      <c r="B145" s="9" t="s">
        <v>1470</v>
      </c>
      <c r="C145" s="43" t="s">
        <v>1468</v>
      </c>
      <c r="D145" s="98">
        <f>E145+F145</f>
        <v>0</v>
      </c>
      <c r="E145" s="648"/>
      <c r="F145" s="100"/>
      <c r="G145" s="98">
        <f>H145+I145</f>
        <v>0</v>
      </c>
      <c r="H145" s="111"/>
      <c r="I145" s="126"/>
    </row>
    <row r="146" spans="1:9" ht="17.25" thickBot="1">
      <c r="A146" s="48">
        <v>136</v>
      </c>
      <c r="B146" s="509" t="s">
        <v>128</v>
      </c>
      <c r="C146" s="500" t="s">
        <v>127</v>
      </c>
      <c r="D146" s="104">
        <f t="shared" si="4"/>
        <v>0</v>
      </c>
      <c r="E146" s="105">
        <f>SUM(E147)</f>
        <v>0</v>
      </c>
      <c r="F146" s="106">
        <f>F147</f>
        <v>0</v>
      </c>
      <c r="G146" s="104">
        <f t="shared" si="5"/>
        <v>0</v>
      </c>
      <c r="H146" s="107">
        <f>SUM(H147)</f>
        <v>0</v>
      </c>
      <c r="I146" s="108">
        <f>mo!M113</f>
        <v>0</v>
      </c>
    </row>
    <row r="147" spans="1:9" ht="17.25" thickBot="1">
      <c r="A147" s="432">
        <v>137</v>
      </c>
      <c r="B147" s="278" t="s">
        <v>95</v>
      </c>
      <c r="C147" s="36" t="s">
        <v>1471</v>
      </c>
      <c r="D147" s="113">
        <f t="shared" si="4"/>
        <v>0</v>
      </c>
      <c r="E147" s="121">
        <f>gog!D249</f>
        <v>0</v>
      </c>
      <c r="F147" s="114">
        <f>gog!E249</f>
        <v>0</v>
      </c>
      <c r="G147" s="113">
        <f t="shared" si="5"/>
        <v>0</v>
      </c>
      <c r="H147" s="122">
        <f>gog!G249</f>
        <v>0</v>
      </c>
      <c r="I147" s="131">
        <f>gog!H249</f>
        <v>0</v>
      </c>
    </row>
    <row r="148" spans="1:9" ht="32.25" thickBot="1">
      <c r="A148" s="48">
        <v>138</v>
      </c>
      <c r="B148" s="282" t="s">
        <v>129</v>
      </c>
      <c r="C148" s="424" t="s">
        <v>1473</v>
      </c>
      <c r="D148" s="104" t="e">
        <f t="shared" si="4"/>
        <v>#REF!</v>
      </c>
      <c r="E148" s="105" t="e">
        <f>SUM(E149:E160)</f>
        <v>#REF!</v>
      </c>
      <c r="F148" s="106"/>
      <c r="G148" s="104" t="e">
        <f t="shared" si="5"/>
        <v>#REF!</v>
      </c>
      <c r="H148" s="107" t="e">
        <f>SUM(H149:H160)</f>
        <v>#REF!</v>
      </c>
      <c r="I148" s="128"/>
    </row>
    <row r="149" spans="1:9" ht="16.5">
      <c r="A149" s="290">
        <v>139</v>
      </c>
      <c r="B149" s="17" t="s">
        <v>77</v>
      </c>
      <c r="C149" s="34" t="s">
        <v>1472</v>
      </c>
      <c r="D149" s="113">
        <f t="shared" si="4"/>
        <v>0</v>
      </c>
      <c r="E149" s="96">
        <f>gog!D252</f>
        <v>0</v>
      </c>
      <c r="F149" s="97"/>
      <c r="G149" s="113">
        <f t="shared" si="5"/>
        <v>0</v>
      </c>
      <c r="H149" s="109">
        <f>gog!G252</f>
        <v>0</v>
      </c>
      <c r="I149" s="132"/>
    </row>
    <row r="150" spans="1:9" ht="16.5">
      <c r="A150" s="275">
        <v>140</v>
      </c>
      <c r="B150" s="18" t="s">
        <v>79</v>
      </c>
      <c r="C150" s="34" t="s">
        <v>1474</v>
      </c>
      <c r="D150" s="98">
        <f t="shared" si="4"/>
        <v>0</v>
      </c>
      <c r="E150" s="96">
        <f>gog!D253</f>
        <v>0</v>
      </c>
      <c r="F150" s="100"/>
      <c r="G150" s="98">
        <f t="shared" si="5"/>
        <v>0</v>
      </c>
      <c r="H150" s="109">
        <f>gog!G253</f>
        <v>0</v>
      </c>
      <c r="I150" s="133"/>
    </row>
    <row r="151" spans="1:9" ht="16.5">
      <c r="A151" s="275">
        <v>141</v>
      </c>
      <c r="B151" s="18" t="s">
        <v>81</v>
      </c>
      <c r="C151" s="34" t="s">
        <v>1475</v>
      </c>
      <c r="D151" s="98">
        <f t="shared" si="4"/>
        <v>0</v>
      </c>
      <c r="E151" s="96">
        <f>gog!D254</f>
        <v>0</v>
      </c>
      <c r="F151" s="100"/>
      <c r="G151" s="98">
        <f t="shared" si="5"/>
        <v>0</v>
      </c>
      <c r="H151" s="109">
        <f>gog!G254</f>
        <v>0</v>
      </c>
      <c r="I151" s="133"/>
    </row>
    <row r="152" spans="1:9" ht="16.5">
      <c r="A152" s="275">
        <v>142</v>
      </c>
      <c r="B152" s="18" t="s">
        <v>83</v>
      </c>
      <c r="C152" s="34" t="s">
        <v>1476</v>
      </c>
      <c r="D152" s="98">
        <f t="shared" si="4"/>
        <v>0</v>
      </c>
      <c r="E152" s="96">
        <f>gog!D256</f>
        <v>0</v>
      </c>
      <c r="F152" s="100"/>
      <c r="G152" s="98">
        <f t="shared" si="5"/>
        <v>0</v>
      </c>
      <c r="H152" s="109">
        <f>gog!G256</f>
        <v>0</v>
      </c>
      <c r="I152" s="133"/>
    </row>
    <row r="153" spans="1:9" ht="16.5">
      <c r="A153" s="275">
        <v>143</v>
      </c>
      <c r="B153" s="18" t="s">
        <v>85</v>
      </c>
      <c r="C153" s="34" t="s">
        <v>1477</v>
      </c>
      <c r="D153" s="98">
        <f t="shared" si="4"/>
        <v>0</v>
      </c>
      <c r="E153" s="96">
        <f>gog!D257</f>
        <v>0</v>
      </c>
      <c r="F153" s="100"/>
      <c r="G153" s="98">
        <f t="shared" si="5"/>
        <v>0</v>
      </c>
      <c r="H153" s="109">
        <f>gog!G257</f>
        <v>0</v>
      </c>
      <c r="I153" s="133"/>
    </row>
    <row r="154" spans="1:9" ht="16.5">
      <c r="A154" s="275">
        <v>144</v>
      </c>
      <c r="B154" s="18" t="s">
        <v>87</v>
      </c>
      <c r="C154" s="34" t="s">
        <v>1478</v>
      </c>
      <c r="D154" s="98" t="e">
        <f t="shared" si="4"/>
        <v>#REF!</v>
      </c>
      <c r="E154" s="96" t="e">
        <f>gog!#REF!</f>
        <v>#REF!</v>
      </c>
      <c r="F154" s="100"/>
      <c r="G154" s="98" t="e">
        <f t="shared" si="5"/>
        <v>#REF!</v>
      </c>
      <c r="H154" s="109" t="e">
        <f>gog!#REF!</f>
        <v>#REF!</v>
      </c>
      <c r="I154" s="133"/>
    </row>
    <row r="155" spans="1:9" ht="16.5">
      <c r="A155" s="275">
        <v>145</v>
      </c>
      <c r="B155" s="18" t="s">
        <v>25</v>
      </c>
      <c r="C155" s="34" t="s">
        <v>1479</v>
      </c>
      <c r="D155" s="98">
        <f t="shared" ref="D155:D272" si="6">E155+F155</f>
        <v>0</v>
      </c>
      <c r="E155" s="96">
        <f>gog!D258</f>
        <v>0</v>
      </c>
      <c r="F155" s="100"/>
      <c r="G155" s="98">
        <f t="shared" ref="G155:G272" si="7">H155+I155</f>
        <v>0</v>
      </c>
      <c r="H155" s="109">
        <f>gog!G258</f>
        <v>0</v>
      </c>
      <c r="I155" s="133"/>
    </row>
    <row r="156" spans="1:9" ht="16.5">
      <c r="A156" s="275">
        <v>146</v>
      </c>
      <c r="B156" s="18" t="s">
        <v>89</v>
      </c>
      <c r="C156" s="34" t="s">
        <v>1480</v>
      </c>
      <c r="D156" s="98">
        <f t="shared" si="6"/>
        <v>0</v>
      </c>
      <c r="E156" s="96">
        <f>gog!D259</f>
        <v>0</v>
      </c>
      <c r="F156" s="100"/>
      <c r="G156" s="98">
        <f t="shared" si="7"/>
        <v>0</v>
      </c>
      <c r="H156" s="109">
        <f>gog!G259</f>
        <v>0</v>
      </c>
      <c r="I156" s="133"/>
    </row>
    <row r="157" spans="1:9" ht="16.5">
      <c r="A157" s="275">
        <v>147</v>
      </c>
      <c r="B157" s="18" t="s">
        <v>91</v>
      </c>
      <c r="C157" s="34" t="s">
        <v>1481</v>
      </c>
      <c r="D157" s="98">
        <f t="shared" si="6"/>
        <v>0</v>
      </c>
      <c r="E157" s="96">
        <f>gog!D261</f>
        <v>0</v>
      </c>
      <c r="F157" s="100"/>
      <c r="G157" s="98">
        <f t="shared" si="7"/>
        <v>0</v>
      </c>
      <c r="H157" s="109">
        <f>gog!G261</f>
        <v>0</v>
      </c>
      <c r="I157" s="133"/>
    </row>
    <row r="158" spans="1:9" ht="16.5">
      <c r="A158" s="275">
        <v>148</v>
      </c>
      <c r="B158" s="18" t="s">
        <v>95</v>
      </c>
      <c r="C158" s="34" t="s">
        <v>1482</v>
      </c>
      <c r="D158" s="98">
        <f t="shared" si="6"/>
        <v>0</v>
      </c>
      <c r="E158" s="96">
        <f>gog!D264</f>
        <v>0</v>
      </c>
      <c r="F158" s="100"/>
      <c r="G158" s="98">
        <f t="shared" si="7"/>
        <v>0</v>
      </c>
      <c r="H158" s="109">
        <f>gog!G264</f>
        <v>0</v>
      </c>
      <c r="I158" s="133"/>
    </row>
    <row r="159" spans="1:9" ht="16.5">
      <c r="A159" s="275">
        <v>149</v>
      </c>
      <c r="B159" s="18" t="s">
        <v>97</v>
      </c>
      <c r="C159" s="34" t="s">
        <v>1483</v>
      </c>
      <c r="D159" s="98">
        <f t="shared" si="6"/>
        <v>0</v>
      </c>
      <c r="E159" s="96">
        <f>gog!D266</f>
        <v>0</v>
      </c>
      <c r="F159" s="100"/>
      <c r="G159" s="98">
        <f t="shared" si="7"/>
        <v>0</v>
      </c>
      <c r="H159" s="109">
        <f>gog!G266</f>
        <v>0</v>
      </c>
      <c r="I159" s="133"/>
    </row>
    <row r="160" spans="1:9" ht="17.25" thickBot="1">
      <c r="A160" s="295">
        <v>150</v>
      </c>
      <c r="B160" s="19" t="s">
        <v>100</v>
      </c>
      <c r="C160" s="36" t="s">
        <v>1484</v>
      </c>
      <c r="D160" s="113" t="e">
        <f t="shared" si="6"/>
        <v>#REF!</v>
      </c>
      <c r="E160" s="96" t="e">
        <f>gog!#REF!</f>
        <v>#REF!</v>
      </c>
      <c r="F160" s="103"/>
      <c r="G160" s="113" t="e">
        <f t="shared" si="7"/>
        <v>#REF!</v>
      </c>
      <c r="H160" s="109" t="e">
        <f>gog!#REF!</f>
        <v>#REF!</v>
      </c>
      <c r="I160" s="134"/>
    </row>
    <row r="161" spans="1:9" ht="63.75" thickBot="1">
      <c r="A161" s="422">
        <v>138</v>
      </c>
      <c r="B161" s="431" t="s">
        <v>353</v>
      </c>
      <c r="C161" s="33" t="s">
        <v>328</v>
      </c>
      <c r="D161" s="104" t="e">
        <f>E161+F161</f>
        <v>#REF!</v>
      </c>
      <c r="E161" s="117" t="e">
        <f>SUM(E162:E173)</f>
        <v>#REF!</v>
      </c>
      <c r="F161" s="118"/>
      <c r="G161" s="150" t="e">
        <f>H161+I161</f>
        <v>#REF!</v>
      </c>
      <c r="H161" s="119" t="e">
        <f>SUM(H162:H173)</f>
        <v>#REF!</v>
      </c>
      <c r="I161" s="159"/>
    </row>
    <row r="162" spans="1:9" ht="16.5">
      <c r="A162" s="290">
        <v>139</v>
      </c>
      <c r="B162" s="418" t="s">
        <v>77</v>
      </c>
      <c r="C162" s="357" t="s">
        <v>341</v>
      </c>
      <c r="D162" s="151">
        <f>E162+F162</f>
        <v>0</v>
      </c>
      <c r="E162" s="96">
        <f>gog!D252+gog!D288+gog!D302+gog!D316</f>
        <v>0</v>
      </c>
      <c r="F162" s="97"/>
      <c r="G162" s="151">
        <f t="shared" ref="G162:G173" si="8">H162+I162</f>
        <v>0</v>
      </c>
      <c r="H162" s="96">
        <f>gog!G252+gog!G288+gog!G302+gog!G316</f>
        <v>0</v>
      </c>
      <c r="I162" s="97"/>
    </row>
    <row r="163" spans="1:9" ht="16.5">
      <c r="A163" s="275">
        <v>140</v>
      </c>
      <c r="B163" s="419" t="s">
        <v>79</v>
      </c>
      <c r="C163" s="43" t="s">
        <v>342</v>
      </c>
      <c r="D163" s="151">
        <f t="shared" ref="D163:D173" si="9">E163+F163</f>
        <v>0</v>
      </c>
      <c r="E163" s="96">
        <f>gog!D253+gog!D289+gog!D303+gog!D317</f>
        <v>0</v>
      </c>
      <c r="F163" s="100"/>
      <c r="G163" s="98">
        <f t="shared" si="8"/>
        <v>0</v>
      </c>
      <c r="H163" s="96">
        <f>gog!G253+gog!G289+gog!G303+gog!G317</f>
        <v>0</v>
      </c>
      <c r="I163" s="100"/>
    </row>
    <row r="164" spans="1:9" ht="16.5">
      <c r="A164" s="275">
        <v>141</v>
      </c>
      <c r="B164" s="419" t="s">
        <v>81</v>
      </c>
      <c r="C164" s="43" t="s">
        <v>343</v>
      </c>
      <c r="D164" s="151" t="e">
        <f t="shared" si="9"/>
        <v>#REF!</v>
      </c>
      <c r="E164" s="96" t="e">
        <f>gog!D254+gog!D290+gog!#REF!+gog!D318</f>
        <v>#REF!</v>
      </c>
      <c r="F164" s="100"/>
      <c r="G164" s="98" t="e">
        <f t="shared" si="8"/>
        <v>#REF!</v>
      </c>
      <c r="H164" s="96" t="e">
        <f>gog!G254+gog!G290+gog!#REF!+gog!G318</f>
        <v>#REF!</v>
      </c>
      <c r="I164" s="100"/>
    </row>
    <row r="165" spans="1:9" ht="16.5">
      <c r="A165" s="275">
        <v>142</v>
      </c>
      <c r="B165" s="419" t="s">
        <v>83</v>
      </c>
      <c r="C165" s="43" t="s">
        <v>344</v>
      </c>
      <c r="D165" s="151">
        <f t="shared" si="9"/>
        <v>0</v>
      </c>
      <c r="E165" s="96">
        <f>gog!D256+gog!D291+gog!D304+gog!D319</f>
        <v>0</v>
      </c>
      <c r="F165" s="100"/>
      <c r="G165" s="98">
        <f t="shared" si="8"/>
        <v>0</v>
      </c>
      <c r="H165" s="96">
        <f>gog!G256+gog!G291+gog!G304+gog!G319</f>
        <v>0</v>
      </c>
      <c r="I165" s="100"/>
    </row>
    <row r="166" spans="1:9" ht="16.5">
      <c r="A166" s="275">
        <v>143</v>
      </c>
      <c r="B166" s="419" t="s">
        <v>85</v>
      </c>
      <c r="C166" s="43" t="s">
        <v>345</v>
      </c>
      <c r="D166" s="151">
        <f t="shared" si="9"/>
        <v>0</v>
      </c>
      <c r="E166" s="96">
        <f>gog!D257+gog!D293+gog!D307+gog!D321</f>
        <v>0</v>
      </c>
      <c r="F166" s="100"/>
      <c r="G166" s="98">
        <f t="shared" si="8"/>
        <v>0</v>
      </c>
      <c r="H166" s="96">
        <f>gog!G257+gog!G293+gog!G307+gog!G321</f>
        <v>0</v>
      </c>
      <c r="I166" s="100"/>
    </row>
    <row r="167" spans="1:9" ht="16.5">
      <c r="A167" s="275">
        <v>144</v>
      </c>
      <c r="B167" s="419" t="s">
        <v>87</v>
      </c>
      <c r="C167" s="43" t="s">
        <v>346</v>
      </c>
      <c r="D167" s="151" t="e">
        <f t="shared" si="9"/>
        <v>#REF!</v>
      </c>
      <c r="E167" s="96" t="e">
        <f>gog!#REF!+gog!#REF!+gog!D308+gog!D322</f>
        <v>#REF!</v>
      </c>
      <c r="F167" s="100"/>
      <c r="G167" s="98" t="e">
        <f t="shared" si="8"/>
        <v>#REF!</v>
      </c>
      <c r="H167" s="96" t="e">
        <f>gog!#REF!+gog!#REF!+gog!G308+gog!G322</f>
        <v>#REF!</v>
      </c>
      <c r="I167" s="100"/>
    </row>
    <row r="168" spans="1:9" ht="16.5">
      <c r="A168" s="275">
        <v>145</v>
      </c>
      <c r="B168" s="419" t="s">
        <v>25</v>
      </c>
      <c r="C168" s="43" t="s">
        <v>347</v>
      </c>
      <c r="D168" s="151">
        <f t="shared" si="9"/>
        <v>0</v>
      </c>
      <c r="E168" s="96">
        <f>gog!D258+gog!D294+gog!D309+gog!D323</f>
        <v>0</v>
      </c>
      <c r="F168" s="100"/>
      <c r="G168" s="98">
        <f t="shared" si="8"/>
        <v>0</v>
      </c>
      <c r="H168" s="96">
        <f>gog!G258+gog!G294+gog!G309+gog!G323</f>
        <v>0</v>
      </c>
      <c r="I168" s="100"/>
    </row>
    <row r="169" spans="1:9" ht="16.5">
      <c r="A169" s="275">
        <v>146</v>
      </c>
      <c r="B169" s="419" t="s">
        <v>89</v>
      </c>
      <c r="C169" s="43" t="s">
        <v>348</v>
      </c>
      <c r="D169" s="151" t="e">
        <f t="shared" si="9"/>
        <v>#REF!</v>
      </c>
      <c r="E169" s="96" t="e">
        <f>gog!D259+gog!D295+gog!#REF!+gog!D324</f>
        <v>#REF!</v>
      </c>
      <c r="F169" s="100"/>
      <c r="G169" s="98" t="e">
        <f t="shared" si="8"/>
        <v>#REF!</v>
      </c>
      <c r="H169" s="96" t="e">
        <f>gog!G259+gog!G295+gog!#REF!+gog!G324</f>
        <v>#REF!</v>
      </c>
      <c r="I169" s="100"/>
    </row>
    <row r="170" spans="1:9" ht="16.5">
      <c r="A170" s="275">
        <v>147</v>
      </c>
      <c r="B170" s="419" t="s">
        <v>91</v>
      </c>
      <c r="C170" s="43" t="s">
        <v>349</v>
      </c>
      <c r="D170" s="151" t="e">
        <f t="shared" si="9"/>
        <v>#REF!</v>
      </c>
      <c r="E170" s="96" t="e">
        <f>gog!D261+gog!D297+gog!#REF!+gog!D325</f>
        <v>#REF!</v>
      </c>
      <c r="F170" s="100"/>
      <c r="G170" s="98" t="e">
        <f t="shared" si="8"/>
        <v>#REF!</v>
      </c>
      <c r="H170" s="96" t="e">
        <f>gog!G261+gog!G297+gog!#REF!+gog!G325</f>
        <v>#REF!</v>
      </c>
      <c r="I170" s="100"/>
    </row>
    <row r="171" spans="1:9" ht="16.5">
      <c r="A171" s="275">
        <v>148</v>
      </c>
      <c r="B171" s="419" t="s">
        <v>95</v>
      </c>
      <c r="C171" s="43" t="s">
        <v>350</v>
      </c>
      <c r="D171" s="151" t="e">
        <f t="shared" si="9"/>
        <v>#REF!</v>
      </c>
      <c r="E171" s="96" t="e">
        <f>gog!D264+gog!D299+gog!#REF!+gog!D326</f>
        <v>#REF!</v>
      </c>
      <c r="F171" s="100"/>
      <c r="G171" s="98" t="e">
        <f t="shared" si="8"/>
        <v>#REF!</v>
      </c>
      <c r="H171" s="96" t="e">
        <f>gog!G264+gog!G299+gog!#REF!+gog!G326</f>
        <v>#REF!</v>
      </c>
      <c r="I171" s="100"/>
    </row>
    <row r="172" spans="1:9" ht="16.5">
      <c r="A172" s="275">
        <v>149</v>
      </c>
      <c r="B172" s="419" t="s">
        <v>97</v>
      </c>
      <c r="C172" s="43" t="s">
        <v>351</v>
      </c>
      <c r="D172" s="151" t="e">
        <f t="shared" si="9"/>
        <v>#REF!</v>
      </c>
      <c r="E172" s="96" t="e">
        <f>gog!D266+gog!#REF!+gog!D310+gog!D327</f>
        <v>#REF!</v>
      </c>
      <c r="F172" s="100"/>
      <c r="G172" s="98" t="e">
        <f t="shared" si="8"/>
        <v>#REF!</v>
      </c>
      <c r="H172" s="96" t="e">
        <f>gog!G266+gog!#REF!+gog!G310+gog!G327</f>
        <v>#REF!</v>
      </c>
      <c r="I172" s="100"/>
    </row>
    <row r="173" spans="1:9" ht="17.25" thickBot="1">
      <c r="A173" s="295">
        <v>150</v>
      </c>
      <c r="B173" s="420" t="s">
        <v>100</v>
      </c>
      <c r="C173" s="423" t="s">
        <v>352</v>
      </c>
      <c r="D173" s="369" t="e">
        <f t="shared" si="9"/>
        <v>#REF!</v>
      </c>
      <c r="E173" s="96" t="e">
        <f>gog!#REF!+gog!#REF!+gog!D311+gog!D328</f>
        <v>#REF!</v>
      </c>
      <c r="F173" s="103"/>
      <c r="G173" s="149" t="e">
        <f t="shared" si="8"/>
        <v>#REF!</v>
      </c>
      <c r="H173" s="96" t="e">
        <f>gog!#REF!+gog!#REF!+gog!G311+gog!G328</f>
        <v>#REF!</v>
      </c>
      <c r="I173" s="103"/>
    </row>
    <row r="174" spans="1:9" ht="32.25" thickBot="1">
      <c r="A174" s="48">
        <v>151</v>
      </c>
      <c r="B174" s="294" t="s">
        <v>26</v>
      </c>
      <c r="C174" s="37" t="s">
        <v>1761</v>
      </c>
      <c r="D174" s="135">
        <f t="shared" si="6"/>
        <v>849900</v>
      </c>
      <c r="E174" s="136">
        <f>SUM(E175:E186)</f>
        <v>0</v>
      </c>
      <c r="F174" s="136">
        <f>SUM(F175:F186)</f>
        <v>849900</v>
      </c>
      <c r="G174" s="135">
        <f t="shared" si="7"/>
        <v>17906.150000000009</v>
      </c>
      <c r="H174" s="137">
        <f>SUM(H175:H186)</f>
        <v>0</v>
      </c>
      <c r="I174" s="138">
        <f>mo!M117</f>
        <v>17906.150000000009</v>
      </c>
    </row>
    <row r="175" spans="1:9" ht="16.5">
      <c r="A175" s="290">
        <v>152</v>
      </c>
      <c r="B175" s="418" t="s">
        <v>77</v>
      </c>
      <c r="C175" s="357" t="s">
        <v>1610</v>
      </c>
      <c r="D175" s="151">
        <f t="shared" si="6"/>
        <v>574240</v>
      </c>
      <c r="E175" s="96"/>
      <c r="F175" s="97">
        <f>gog!E335</f>
        <v>574240</v>
      </c>
      <c r="G175" s="151">
        <f t="shared" si="7"/>
        <v>425335.63</v>
      </c>
      <c r="H175" s="109"/>
      <c r="I175" s="97">
        <f>gog!H335</f>
        <v>425335.63</v>
      </c>
    </row>
    <row r="176" spans="1:9" ht="16.5">
      <c r="A176" s="275">
        <v>153</v>
      </c>
      <c r="B176" s="419" t="s">
        <v>79</v>
      </c>
      <c r="C176" s="43" t="s">
        <v>1611</v>
      </c>
      <c r="D176" s="98">
        <f t="shared" si="6"/>
        <v>0</v>
      </c>
      <c r="E176" s="99"/>
      <c r="F176" s="97">
        <f>gog!E336</f>
        <v>0</v>
      </c>
      <c r="G176" s="98">
        <f t="shared" si="7"/>
        <v>0</v>
      </c>
      <c r="H176" s="111"/>
      <c r="I176" s="97">
        <f>gog!H336</f>
        <v>0</v>
      </c>
    </row>
    <row r="177" spans="1:9" ht="16.5">
      <c r="A177" s="275">
        <v>154</v>
      </c>
      <c r="B177" s="419" t="s">
        <v>81</v>
      </c>
      <c r="C177" s="43" t="s">
        <v>1612</v>
      </c>
      <c r="D177" s="98">
        <f t="shared" si="6"/>
        <v>240360</v>
      </c>
      <c r="E177" s="99"/>
      <c r="F177" s="97">
        <f>gog!E337</f>
        <v>240360</v>
      </c>
      <c r="G177" s="98">
        <f t="shared" si="7"/>
        <v>198662.93</v>
      </c>
      <c r="H177" s="111"/>
      <c r="I177" s="97">
        <f>gog!H337</f>
        <v>198662.93</v>
      </c>
    </row>
    <row r="178" spans="1:9" ht="16.5">
      <c r="A178" s="275">
        <v>155</v>
      </c>
      <c r="B178" s="419" t="s">
        <v>83</v>
      </c>
      <c r="C178" s="43" t="s">
        <v>1613</v>
      </c>
      <c r="D178" s="98">
        <f t="shared" si="6"/>
        <v>12900</v>
      </c>
      <c r="E178" s="99"/>
      <c r="F178" s="97">
        <f>gog!E338</f>
        <v>12900</v>
      </c>
      <c r="G178" s="98">
        <f t="shared" si="7"/>
        <v>6000</v>
      </c>
      <c r="H178" s="111"/>
      <c r="I178" s="97">
        <f>gog!H338</f>
        <v>6000</v>
      </c>
    </row>
    <row r="179" spans="1:9" ht="16.5">
      <c r="A179" s="275">
        <v>156</v>
      </c>
      <c r="B179" s="419" t="s">
        <v>85</v>
      </c>
      <c r="C179" s="43" t="s">
        <v>1614</v>
      </c>
      <c r="D179" s="98">
        <f t="shared" si="6"/>
        <v>6000</v>
      </c>
      <c r="E179" s="99"/>
      <c r="F179" s="97">
        <f>gog!E339</f>
        <v>6000</v>
      </c>
      <c r="G179" s="98">
        <f t="shared" si="7"/>
        <v>0</v>
      </c>
      <c r="H179" s="111"/>
      <c r="I179" s="97">
        <f>gog!H339</f>
        <v>0</v>
      </c>
    </row>
    <row r="180" spans="1:9" ht="16.5">
      <c r="A180" s="275">
        <v>157</v>
      </c>
      <c r="B180" s="419" t="s">
        <v>87</v>
      </c>
      <c r="C180" s="43" t="s">
        <v>1615</v>
      </c>
      <c r="D180" s="98">
        <f t="shared" si="6"/>
        <v>4000</v>
      </c>
      <c r="E180" s="99"/>
      <c r="F180" s="97">
        <f>gog!E340</f>
        <v>4000</v>
      </c>
      <c r="G180" s="98">
        <f t="shared" si="7"/>
        <v>4000</v>
      </c>
      <c r="H180" s="111"/>
      <c r="I180" s="97">
        <f>gog!H340</f>
        <v>4000</v>
      </c>
    </row>
    <row r="181" spans="1:9" ht="16.5">
      <c r="A181" s="275">
        <v>158</v>
      </c>
      <c r="B181" s="419" t="s">
        <v>765</v>
      </c>
      <c r="C181" s="43" t="s">
        <v>1616</v>
      </c>
      <c r="D181" s="98">
        <f t="shared" si="6"/>
        <v>0</v>
      </c>
      <c r="E181" s="99"/>
      <c r="F181" s="97">
        <f>gog!E341</f>
        <v>0</v>
      </c>
      <c r="G181" s="98">
        <f t="shared" si="7"/>
        <v>0</v>
      </c>
      <c r="H181" s="111"/>
      <c r="I181" s="97">
        <f>gog!H341</f>
        <v>0</v>
      </c>
    </row>
    <row r="182" spans="1:9" ht="16.5">
      <c r="A182" s="275">
        <v>159</v>
      </c>
      <c r="B182" s="419" t="s">
        <v>89</v>
      </c>
      <c r="C182" s="43" t="s">
        <v>1617</v>
      </c>
      <c r="D182" s="98">
        <f t="shared" si="6"/>
        <v>0</v>
      </c>
      <c r="E182" s="99"/>
      <c r="F182" s="97">
        <f>gog!E342</f>
        <v>0</v>
      </c>
      <c r="G182" s="98">
        <f t="shared" si="7"/>
        <v>0</v>
      </c>
      <c r="H182" s="111"/>
      <c r="I182" s="97">
        <f>gog!H342</f>
        <v>0</v>
      </c>
    </row>
    <row r="183" spans="1:9" ht="16.5">
      <c r="A183" s="275">
        <v>160</v>
      </c>
      <c r="B183" s="419" t="s">
        <v>91</v>
      </c>
      <c r="C183" s="43" t="s">
        <v>1618</v>
      </c>
      <c r="D183" s="98">
        <f t="shared" si="6"/>
        <v>7000</v>
      </c>
      <c r="E183" s="99"/>
      <c r="F183" s="97">
        <f>gog!E343</f>
        <v>7000</v>
      </c>
      <c r="G183" s="98">
        <f t="shared" si="7"/>
        <v>0</v>
      </c>
      <c r="H183" s="111"/>
      <c r="I183" s="97">
        <f>gog!H343</f>
        <v>0</v>
      </c>
    </row>
    <row r="184" spans="1:9" ht="16.5">
      <c r="A184" s="275">
        <v>161</v>
      </c>
      <c r="B184" s="419" t="s">
        <v>95</v>
      </c>
      <c r="C184" s="43" t="s">
        <v>1619</v>
      </c>
      <c r="D184" s="98">
        <f t="shared" si="6"/>
        <v>0</v>
      </c>
      <c r="E184" s="99"/>
      <c r="F184" s="97">
        <f>gog!E344</f>
        <v>0</v>
      </c>
      <c r="G184" s="98">
        <f t="shared" si="7"/>
        <v>0</v>
      </c>
      <c r="H184" s="111"/>
      <c r="I184" s="97">
        <f>gog!H344</f>
        <v>0</v>
      </c>
    </row>
    <row r="185" spans="1:9" ht="16.5">
      <c r="A185" s="275">
        <v>162</v>
      </c>
      <c r="B185" s="419" t="s">
        <v>97</v>
      </c>
      <c r="C185" s="43" t="s">
        <v>1620</v>
      </c>
      <c r="D185" s="98">
        <f t="shared" si="6"/>
        <v>0</v>
      </c>
      <c r="E185" s="99"/>
      <c r="F185" s="97">
        <f>gog!E345</f>
        <v>0</v>
      </c>
      <c r="G185" s="98">
        <f t="shared" si="7"/>
        <v>0</v>
      </c>
      <c r="H185" s="111"/>
      <c r="I185" s="97">
        <f>gog!H345</f>
        <v>0</v>
      </c>
    </row>
    <row r="186" spans="1:9" ht="17.25" thickBot="1">
      <c r="A186" s="275">
        <v>163</v>
      </c>
      <c r="B186" s="420" t="s">
        <v>100</v>
      </c>
      <c r="C186" s="43" t="s">
        <v>1621</v>
      </c>
      <c r="D186" s="98">
        <f t="shared" si="6"/>
        <v>5400</v>
      </c>
      <c r="E186" s="99"/>
      <c r="F186" s="97">
        <f>gog!E346</f>
        <v>5400</v>
      </c>
      <c r="G186" s="98">
        <f t="shared" si="7"/>
        <v>5400</v>
      </c>
      <c r="H186" s="111"/>
      <c r="I186" s="97">
        <f>gog!H346</f>
        <v>5400</v>
      </c>
    </row>
    <row r="187" spans="1:9" ht="32.25" thickBot="1">
      <c r="A187" s="275">
        <v>164</v>
      </c>
      <c r="B187" s="518" t="s">
        <v>130</v>
      </c>
      <c r="C187" s="510" t="s">
        <v>131</v>
      </c>
      <c r="D187" s="421" t="e">
        <f t="shared" si="6"/>
        <v>#REF!</v>
      </c>
      <c r="E187" s="425" t="e">
        <f>SUM(E188:E193)</f>
        <v>#REF!</v>
      </c>
      <c r="F187" s="425" t="e">
        <f>SUM(F188:F193)</f>
        <v>#REF!</v>
      </c>
      <c r="G187" s="421" t="e">
        <f t="shared" si="7"/>
        <v>#REF!</v>
      </c>
      <c r="H187" s="425" t="e">
        <f>SUM(H188:H193)</f>
        <v>#REF!</v>
      </c>
      <c r="I187" s="426">
        <f>I194+I200</f>
        <v>34106.5</v>
      </c>
    </row>
    <row r="188" spans="1:9" ht="16.5">
      <c r="A188" s="275">
        <v>165</v>
      </c>
      <c r="B188" s="17" t="s">
        <v>77</v>
      </c>
      <c r="C188" s="34" t="s">
        <v>132</v>
      </c>
      <c r="D188" s="95">
        <f t="shared" si="6"/>
        <v>0</v>
      </c>
      <c r="E188" s="96">
        <f>E195</f>
        <v>0</v>
      </c>
      <c r="F188" s="97">
        <f t="shared" ref="F188:I189" si="10">F195</f>
        <v>0</v>
      </c>
      <c r="G188" s="95">
        <f t="shared" si="7"/>
        <v>0</v>
      </c>
      <c r="H188" s="96">
        <f t="shared" si="10"/>
        <v>0</v>
      </c>
      <c r="I188" s="97">
        <f t="shared" si="10"/>
        <v>0</v>
      </c>
    </row>
    <row r="189" spans="1:9" ht="16.5">
      <c r="A189" s="275">
        <v>166</v>
      </c>
      <c r="B189" s="18" t="s">
        <v>79</v>
      </c>
      <c r="C189" s="31" t="s">
        <v>133</v>
      </c>
      <c r="D189" s="98" t="e">
        <f t="shared" si="6"/>
        <v>#REF!</v>
      </c>
      <c r="E189" s="99" t="e">
        <f>E196</f>
        <v>#REF!</v>
      </c>
      <c r="F189" s="100">
        <f t="shared" si="10"/>
        <v>0</v>
      </c>
      <c r="G189" s="98" t="e">
        <f t="shared" si="7"/>
        <v>#REF!</v>
      </c>
      <c r="H189" s="99" t="e">
        <f t="shared" si="10"/>
        <v>#REF!</v>
      </c>
      <c r="I189" s="100">
        <f t="shared" si="10"/>
        <v>0</v>
      </c>
    </row>
    <row r="190" spans="1:9" ht="16.5">
      <c r="A190" s="275">
        <v>167</v>
      </c>
      <c r="B190" s="18" t="s">
        <v>89</v>
      </c>
      <c r="C190" s="31" t="s">
        <v>2157</v>
      </c>
      <c r="D190" s="98">
        <f t="shared" si="6"/>
        <v>0</v>
      </c>
      <c r="E190" s="99"/>
      <c r="F190" s="100"/>
      <c r="G190" s="98">
        <f t="shared" si="7"/>
        <v>0</v>
      </c>
      <c r="H190" s="99">
        <f>H197</f>
        <v>0</v>
      </c>
      <c r="I190" s="100"/>
    </row>
    <row r="191" spans="1:9" ht="16.5">
      <c r="A191" s="275">
        <v>168</v>
      </c>
      <c r="B191" s="18" t="s">
        <v>91</v>
      </c>
      <c r="C191" s="32" t="s">
        <v>2159</v>
      </c>
      <c r="D191" s="98" t="e">
        <f t="shared" si="6"/>
        <v>#REF!</v>
      </c>
      <c r="E191" s="102" t="e">
        <f>E201+E198</f>
        <v>#REF!</v>
      </c>
      <c r="F191" s="103" t="e">
        <f>F200</f>
        <v>#REF!</v>
      </c>
      <c r="G191" s="98" t="e">
        <f t="shared" si="7"/>
        <v>#REF!</v>
      </c>
      <c r="H191" s="102" t="e">
        <f>H201</f>
        <v>#REF!</v>
      </c>
      <c r="I191" s="103" t="e">
        <f>I201</f>
        <v>#REF!</v>
      </c>
    </row>
    <row r="192" spans="1:9" ht="16.5">
      <c r="A192" s="275"/>
      <c r="B192" s="19"/>
      <c r="C192" s="32" t="s">
        <v>1589</v>
      </c>
      <c r="D192" s="98">
        <f t="shared" si="6"/>
        <v>0</v>
      </c>
      <c r="E192" s="102">
        <f>E202</f>
        <v>0</v>
      </c>
      <c r="F192" s="103"/>
      <c r="G192" s="113">
        <f>H192</f>
        <v>0</v>
      </c>
      <c r="H192" s="102">
        <f>H202</f>
        <v>0</v>
      </c>
      <c r="I192" s="103"/>
    </row>
    <row r="193" spans="1:9" ht="17.25" thickBot="1">
      <c r="A193" s="295">
        <v>169</v>
      </c>
      <c r="B193" s="473" t="s">
        <v>100</v>
      </c>
      <c r="C193" s="515" t="s">
        <v>2158</v>
      </c>
      <c r="D193" s="113" t="e">
        <f t="shared" si="6"/>
        <v>#REF!</v>
      </c>
      <c r="E193" s="102" t="e">
        <f>E199</f>
        <v>#REF!</v>
      </c>
      <c r="F193" s="103"/>
      <c r="G193" s="113" t="e">
        <f t="shared" si="7"/>
        <v>#REF!</v>
      </c>
      <c r="H193" s="102" t="e">
        <f>H199+H203</f>
        <v>#REF!</v>
      </c>
      <c r="I193" s="103"/>
    </row>
    <row r="194" spans="1:9" ht="17.25" thickBot="1">
      <c r="A194" s="48">
        <v>170</v>
      </c>
      <c r="B194" s="497" t="s">
        <v>134</v>
      </c>
      <c r="C194" s="494" t="s">
        <v>135</v>
      </c>
      <c r="D194" s="104" t="e">
        <f t="shared" si="6"/>
        <v>#REF!</v>
      </c>
      <c r="E194" s="142" t="e">
        <f>E195+E196+E197+E198+E199</f>
        <v>#REF!</v>
      </c>
      <c r="F194" s="143"/>
      <c r="G194" s="104" t="e">
        <f t="shared" si="7"/>
        <v>#REF!</v>
      </c>
      <c r="H194" s="142" t="e">
        <f>SUM(H195:H197)</f>
        <v>#REF!</v>
      </c>
      <c r="I194" s="144"/>
    </row>
    <row r="195" spans="1:9" ht="16.5">
      <c r="A195" s="290">
        <v>171</v>
      </c>
      <c r="B195" s="503" t="s">
        <v>77</v>
      </c>
      <c r="C195" s="501" t="s">
        <v>1622</v>
      </c>
      <c r="D195" s="113">
        <f t="shared" si="6"/>
        <v>0</v>
      </c>
      <c r="E195" s="96">
        <f>gog!D348</f>
        <v>0</v>
      </c>
      <c r="F195" s="97"/>
      <c r="G195" s="151">
        <f t="shared" si="7"/>
        <v>0</v>
      </c>
      <c r="H195" s="96">
        <f>gog!G348</f>
        <v>0</v>
      </c>
      <c r="I195" s="145"/>
    </row>
    <row r="196" spans="1:9" ht="16.5">
      <c r="A196" s="275">
        <v>172</v>
      </c>
      <c r="B196" s="473" t="s">
        <v>79</v>
      </c>
      <c r="C196" s="501" t="s">
        <v>1623</v>
      </c>
      <c r="D196" s="98" t="e">
        <f t="shared" si="6"/>
        <v>#REF!</v>
      </c>
      <c r="E196" s="96" t="e">
        <f>gog!#REF!</f>
        <v>#REF!</v>
      </c>
      <c r="F196" s="103"/>
      <c r="G196" s="98" t="e">
        <f t="shared" si="7"/>
        <v>#REF!</v>
      </c>
      <c r="H196" s="96" t="e">
        <f>gog!#REF!</f>
        <v>#REF!</v>
      </c>
      <c r="I196" s="146"/>
    </row>
    <row r="197" spans="1:9" ht="16.5">
      <c r="A197" s="275">
        <v>173</v>
      </c>
      <c r="B197" s="9" t="s">
        <v>89</v>
      </c>
      <c r="C197" s="501" t="s">
        <v>1624</v>
      </c>
      <c r="D197" s="98">
        <f t="shared" si="6"/>
        <v>0</v>
      </c>
      <c r="E197" s="96">
        <f>gog!D350</f>
        <v>0</v>
      </c>
      <c r="F197" s="100"/>
      <c r="G197" s="98">
        <f t="shared" si="7"/>
        <v>0</v>
      </c>
      <c r="H197" s="96">
        <f>gog!G350</f>
        <v>0</v>
      </c>
      <c r="I197" s="147"/>
    </row>
    <row r="198" spans="1:9" ht="16.5">
      <c r="A198" s="275"/>
      <c r="B198" s="9" t="s">
        <v>91</v>
      </c>
      <c r="C198" s="501" t="s">
        <v>1625</v>
      </c>
      <c r="D198" s="98">
        <f t="shared" si="6"/>
        <v>30532.5</v>
      </c>
      <c r="E198" s="96">
        <f>gog!D352</f>
        <v>30532.5</v>
      </c>
      <c r="F198" s="103"/>
      <c r="G198" s="98"/>
      <c r="H198" s="96">
        <f>gog!G352</f>
        <v>30532.5</v>
      </c>
      <c r="I198" s="146"/>
    </row>
    <row r="199" spans="1:9" ht="17.25" thickBot="1">
      <c r="A199" s="295">
        <v>174</v>
      </c>
      <c r="B199" s="504" t="s">
        <v>100</v>
      </c>
      <c r="C199" s="41" t="s">
        <v>1626</v>
      </c>
      <c r="D199" s="113" t="e">
        <f t="shared" si="6"/>
        <v>#REF!</v>
      </c>
      <c r="E199" s="96" t="e">
        <f>gog!#REF!</f>
        <v>#REF!</v>
      </c>
      <c r="F199" s="103"/>
      <c r="G199" s="149" t="e">
        <f t="shared" si="7"/>
        <v>#REF!</v>
      </c>
      <c r="H199" s="96" t="e">
        <f>gog!#REF!</f>
        <v>#REF!</v>
      </c>
      <c r="I199" s="146"/>
    </row>
    <row r="200" spans="1:9" ht="63.75" thickBot="1">
      <c r="A200" s="48">
        <v>175</v>
      </c>
      <c r="B200" s="280" t="s">
        <v>2040</v>
      </c>
      <c r="C200" s="183" t="s">
        <v>2155</v>
      </c>
      <c r="D200" s="150" t="e">
        <f t="shared" si="6"/>
        <v>#REF!</v>
      </c>
      <c r="E200" s="184" t="e">
        <f>SUM(E201:E203)</f>
        <v>#REF!</v>
      </c>
      <c r="F200" s="118" t="e">
        <f>F201</f>
        <v>#REF!</v>
      </c>
      <c r="G200" s="150" t="e">
        <f t="shared" si="7"/>
        <v>#REF!</v>
      </c>
      <c r="H200" s="129" t="e">
        <f>SUM(H201:H203)</f>
        <v>#REF!</v>
      </c>
      <c r="I200" s="148">
        <f>mo!M129</f>
        <v>34106.5</v>
      </c>
    </row>
    <row r="201" spans="1:9" ht="16.5">
      <c r="A201" s="290">
        <v>176</v>
      </c>
      <c r="B201" s="17" t="s">
        <v>91</v>
      </c>
      <c r="C201" s="34" t="s">
        <v>1627</v>
      </c>
      <c r="D201" s="151" t="e">
        <f t="shared" si="6"/>
        <v>#REF!</v>
      </c>
      <c r="E201" s="96" t="e">
        <f>gog!#REF!</f>
        <v>#REF!</v>
      </c>
      <c r="F201" s="97" t="e">
        <f>gog!#REF!</f>
        <v>#REF!</v>
      </c>
      <c r="G201" s="151" t="e">
        <f t="shared" si="7"/>
        <v>#REF!</v>
      </c>
      <c r="H201" s="96" t="e">
        <f>gog!#REF!</f>
        <v>#REF!</v>
      </c>
      <c r="I201" s="110" t="e">
        <f>gog!#REF!</f>
        <v>#REF!</v>
      </c>
    </row>
    <row r="202" spans="1:9" ht="16.5">
      <c r="A202" s="275"/>
      <c r="B202" s="18" t="s">
        <v>97</v>
      </c>
      <c r="C202" s="31" t="s">
        <v>1628</v>
      </c>
      <c r="D202" s="98">
        <f>E202</f>
        <v>0</v>
      </c>
      <c r="E202" s="96">
        <f>gog!D360</f>
        <v>0</v>
      </c>
      <c r="F202" s="97">
        <f>gog!E360</f>
        <v>0</v>
      </c>
      <c r="G202" s="98">
        <f>H202</f>
        <v>0</v>
      </c>
      <c r="H202" s="96">
        <f>gog!G360</f>
        <v>0</v>
      </c>
      <c r="I202" s="110">
        <f>gog!H360</f>
        <v>0</v>
      </c>
    </row>
    <row r="203" spans="1:9" ht="17.25" thickBot="1">
      <c r="A203" s="295"/>
      <c r="B203" s="19" t="s">
        <v>100</v>
      </c>
      <c r="C203" s="41" t="s">
        <v>1629</v>
      </c>
      <c r="D203" s="113">
        <f>E203</f>
        <v>13145</v>
      </c>
      <c r="E203" s="96">
        <f>gog!D366</f>
        <v>13145</v>
      </c>
      <c r="F203" s="97">
        <f>gog!E366</f>
        <v>0</v>
      </c>
      <c r="G203" s="113">
        <f>H203</f>
        <v>13145</v>
      </c>
      <c r="H203" s="96">
        <f>gog!G366</f>
        <v>13145</v>
      </c>
      <c r="I203" s="110">
        <f>gog!H366</f>
        <v>0</v>
      </c>
    </row>
    <row r="204" spans="1:9" ht="18.75" thickBot="1">
      <c r="A204" s="48">
        <v>177</v>
      </c>
      <c r="B204" s="492" t="s">
        <v>137</v>
      </c>
      <c r="C204" s="27" t="s">
        <v>138</v>
      </c>
      <c r="D204" s="135" t="e">
        <f t="shared" si="6"/>
        <v>#REF!</v>
      </c>
      <c r="E204" s="140" t="e">
        <f>SUM(E205:E218)</f>
        <v>#REF!</v>
      </c>
      <c r="F204" s="140"/>
      <c r="G204" s="135" t="e">
        <f t="shared" si="7"/>
        <v>#REF!</v>
      </c>
      <c r="H204" s="141" t="e">
        <f>SUM(H205:H218)</f>
        <v>#REF!</v>
      </c>
      <c r="I204" s="141"/>
    </row>
    <row r="205" spans="1:9" ht="16.5">
      <c r="A205" s="290"/>
      <c r="B205" s="17" t="s">
        <v>77</v>
      </c>
      <c r="C205" s="34" t="s">
        <v>1681</v>
      </c>
      <c r="D205" s="113" t="e">
        <f t="shared" si="6"/>
        <v>#REF!</v>
      </c>
      <c r="E205" s="427" t="e">
        <f t="shared" ref="E205:E213" si="11">E220</f>
        <v>#REF!</v>
      </c>
      <c r="F205" s="155"/>
      <c r="G205" s="113" t="e">
        <f t="shared" si="7"/>
        <v>#REF!</v>
      </c>
      <c r="H205" s="427" t="e">
        <f t="shared" ref="H205:H213" si="12">H220</f>
        <v>#REF!</v>
      </c>
      <c r="I205" s="155"/>
    </row>
    <row r="206" spans="1:9" ht="16.5">
      <c r="A206" s="275"/>
      <c r="B206" s="18" t="s">
        <v>79</v>
      </c>
      <c r="C206" s="373" t="s">
        <v>1682</v>
      </c>
      <c r="D206" s="98" t="e">
        <f t="shared" si="6"/>
        <v>#REF!</v>
      </c>
      <c r="E206" s="427" t="e">
        <f t="shared" si="11"/>
        <v>#REF!</v>
      </c>
      <c r="F206" s="126"/>
      <c r="G206" s="98" t="e">
        <f t="shared" si="7"/>
        <v>#REF!</v>
      </c>
      <c r="H206" s="427" t="e">
        <f t="shared" si="12"/>
        <v>#REF!</v>
      </c>
      <c r="I206" s="126"/>
    </row>
    <row r="207" spans="1:9" ht="16.5">
      <c r="A207" s="275"/>
      <c r="B207" s="18" t="s">
        <v>81</v>
      </c>
      <c r="C207" s="373" t="s">
        <v>1683</v>
      </c>
      <c r="D207" s="98" t="e">
        <f t="shared" si="6"/>
        <v>#REF!</v>
      </c>
      <c r="E207" s="427" t="e">
        <f t="shared" si="11"/>
        <v>#REF!</v>
      </c>
      <c r="F207" s="126"/>
      <c r="G207" s="98" t="e">
        <f t="shared" si="7"/>
        <v>#REF!</v>
      </c>
      <c r="H207" s="427" t="e">
        <f t="shared" si="12"/>
        <v>#REF!</v>
      </c>
      <c r="I207" s="126"/>
    </row>
    <row r="208" spans="1:9" ht="16.5">
      <c r="A208" s="275"/>
      <c r="B208" s="18" t="s">
        <v>83</v>
      </c>
      <c r="C208" s="373" t="s">
        <v>1684</v>
      </c>
      <c r="D208" s="98" t="e">
        <f t="shared" si="6"/>
        <v>#REF!</v>
      </c>
      <c r="E208" s="427" t="e">
        <f t="shared" si="11"/>
        <v>#REF!</v>
      </c>
      <c r="F208" s="126"/>
      <c r="G208" s="98" t="e">
        <f t="shared" si="7"/>
        <v>#REF!</v>
      </c>
      <c r="H208" s="427" t="e">
        <f t="shared" si="12"/>
        <v>#REF!</v>
      </c>
      <c r="I208" s="126"/>
    </row>
    <row r="209" spans="1:9" ht="16.5">
      <c r="A209" s="275"/>
      <c r="B209" s="18" t="s">
        <v>85</v>
      </c>
      <c r="C209" s="373" t="s">
        <v>1685</v>
      </c>
      <c r="D209" s="98" t="e">
        <f t="shared" si="6"/>
        <v>#REF!</v>
      </c>
      <c r="E209" s="427" t="e">
        <f t="shared" si="11"/>
        <v>#REF!</v>
      </c>
      <c r="F209" s="126"/>
      <c r="G209" s="98" t="e">
        <f t="shared" si="7"/>
        <v>#REF!</v>
      </c>
      <c r="H209" s="427" t="e">
        <f t="shared" si="12"/>
        <v>#REF!</v>
      </c>
      <c r="I209" s="126"/>
    </row>
    <row r="210" spans="1:9" ht="16.5">
      <c r="A210" s="275"/>
      <c r="B210" s="18" t="s">
        <v>87</v>
      </c>
      <c r="C210" s="373" t="s">
        <v>1686</v>
      </c>
      <c r="D210" s="98" t="e">
        <f t="shared" si="6"/>
        <v>#REF!</v>
      </c>
      <c r="E210" s="427" t="e">
        <f t="shared" si="11"/>
        <v>#REF!</v>
      </c>
      <c r="F210" s="126"/>
      <c r="G210" s="98" t="e">
        <f t="shared" si="7"/>
        <v>#REF!</v>
      </c>
      <c r="H210" s="427" t="e">
        <f t="shared" si="12"/>
        <v>#REF!</v>
      </c>
      <c r="I210" s="126"/>
    </row>
    <row r="211" spans="1:9" ht="16.5">
      <c r="A211" s="275"/>
      <c r="B211" s="18" t="s">
        <v>25</v>
      </c>
      <c r="C211" s="373" t="s">
        <v>1687</v>
      </c>
      <c r="D211" s="98" t="e">
        <f t="shared" si="6"/>
        <v>#REF!</v>
      </c>
      <c r="E211" s="427" t="e">
        <f t="shared" si="11"/>
        <v>#REF!</v>
      </c>
      <c r="F211" s="126"/>
      <c r="G211" s="98" t="e">
        <f t="shared" si="7"/>
        <v>#REF!</v>
      </c>
      <c r="H211" s="427" t="e">
        <f t="shared" si="12"/>
        <v>#REF!</v>
      </c>
      <c r="I211" s="126"/>
    </row>
    <row r="212" spans="1:9" ht="16.5">
      <c r="A212" s="275"/>
      <c r="B212" s="18" t="s">
        <v>89</v>
      </c>
      <c r="C212" s="373" t="s">
        <v>1688</v>
      </c>
      <c r="D212" s="98" t="e">
        <f t="shared" si="6"/>
        <v>#REF!</v>
      </c>
      <c r="E212" s="427" t="e">
        <f t="shared" si="11"/>
        <v>#REF!</v>
      </c>
      <c r="F212" s="126"/>
      <c r="G212" s="98" t="e">
        <f t="shared" si="7"/>
        <v>#REF!</v>
      </c>
      <c r="H212" s="427" t="e">
        <f t="shared" si="12"/>
        <v>#REF!</v>
      </c>
      <c r="I212" s="126"/>
    </row>
    <row r="213" spans="1:9" ht="16.5">
      <c r="A213" s="275"/>
      <c r="B213" s="18" t="s">
        <v>91</v>
      </c>
      <c r="C213" s="373" t="s">
        <v>1689</v>
      </c>
      <c r="D213" s="98" t="e">
        <f t="shared" si="6"/>
        <v>#REF!</v>
      </c>
      <c r="E213" s="427" t="e">
        <f t="shared" si="11"/>
        <v>#REF!</v>
      </c>
      <c r="F213" s="372"/>
      <c r="G213" s="98" t="e">
        <f t="shared" si="7"/>
        <v>#REF!</v>
      </c>
      <c r="H213" s="427" t="e">
        <f t="shared" si="12"/>
        <v>#REF!</v>
      </c>
      <c r="I213" s="374"/>
    </row>
    <row r="214" spans="1:9" ht="39">
      <c r="A214" s="275">
        <v>178</v>
      </c>
      <c r="B214" s="18" t="s">
        <v>62</v>
      </c>
      <c r="C214" s="373" t="s">
        <v>61</v>
      </c>
      <c r="D214" s="98" t="e">
        <f t="shared" si="6"/>
        <v>#REF!</v>
      </c>
      <c r="E214" s="376" t="e">
        <f>E233</f>
        <v>#REF!</v>
      </c>
      <c r="F214" s="97"/>
      <c r="G214" s="98" t="e">
        <f t="shared" si="7"/>
        <v>#REF!</v>
      </c>
      <c r="H214" s="376" t="e">
        <f>H233</f>
        <v>#REF!</v>
      </c>
      <c r="I214" s="97"/>
    </row>
    <row r="215" spans="1:9" ht="39">
      <c r="A215" s="275">
        <v>179</v>
      </c>
      <c r="B215" s="19" t="s">
        <v>139</v>
      </c>
      <c r="C215" s="40" t="s">
        <v>140</v>
      </c>
      <c r="D215" s="98" t="e">
        <f t="shared" si="6"/>
        <v>#REF!</v>
      </c>
      <c r="E215" s="377" t="e">
        <f>E234</f>
        <v>#REF!</v>
      </c>
      <c r="F215" s="100"/>
      <c r="G215" s="98" t="e">
        <f t="shared" si="7"/>
        <v>#REF!</v>
      </c>
      <c r="H215" s="377" t="e">
        <f>H234</f>
        <v>#REF!</v>
      </c>
      <c r="I215" s="100"/>
    </row>
    <row r="216" spans="1:9" ht="16.5">
      <c r="A216" s="371"/>
      <c r="B216" s="18" t="s">
        <v>95</v>
      </c>
      <c r="C216" s="373" t="s">
        <v>1678</v>
      </c>
      <c r="D216" s="98" t="e">
        <f t="shared" si="6"/>
        <v>#REF!</v>
      </c>
      <c r="E216" s="427" t="e">
        <f>E229</f>
        <v>#REF!</v>
      </c>
      <c r="F216" s="100"/>
      <c r="G216" s="98" t="e">
        <f t="shared" si="7"/>
        <v>#REF!</v>
      </c>
      <c r="H216" s="427" t="e">
        <f>H229</f>
        <v>#REF!</v>
      </c>
      <c r="I216" s="100"/>
    </row>
    <row r="217" spans="1:9" ht="17.25" thickBot="1">
      <c r="A217" s="371"/>
      <c r="B217" s="18" t="s">
        <v>97</v>
      </c>
      <c r="C217" s="373" t="s">
        <v>1679</v>
      </c>
      <c r="D217" s="98" t="e">
        <f t="shared" si="6"/>
        <v>#REF!</v>
      </c>
      <c r="E217" s="427" t="e">
        <f>E230</f>
        <v>#REF!</v>
      </c>
      <c r="F217" s="100"/>
      <c r="G217" s="113" t="e">
        <f t="shared" si="7"/>
        <v>#REF!</v>
      </c>
      <c r="H217" s="427" t="e">
        <f>H230</f>
        <v>#REF!</v>
      </c>
      <c r="I217" s="100"/>
    </row>
    <row r="218" spans="1:9" ht="17.25" thickBot="1">
      <c r="A218" s="429"/>
      <c r="B218" s="19" t="s">
        <v>100</v>
      </c>
      <c r="C218" s="32" t="s">
        <v>1680</v>
      </c>
      <c r="D218" s="113" t="e">
        <f t="shared" si="6"/>
        <v>#REF!</v>
      </c>
      <c r="E218" s="430" t="e">
        <f>E231</f>
        <v>#REF!</v>
      </c>
      <c r="F218" s="114"/>
      <c r="G218" s="95" t="e">
        <f t="shared" si="7"/>
        <v>#REF!</v>
      </c>
      <c r="H218" s="430" t="e">
        <f>H231</f>
        <v>#REF!</v>
      </c>
      <c r="I218" s="370"/>
    </row>
    <row r="219" spans="1:9" ht="63.75" thickBot="1">
      <c r="A219" s="422"/>
      <c r="B219" s="514" t="s">
        <v>353</v>
      </c>
      <c r="C219" s="494" t="s">
        <v>354</v>
      </c>
      <c r="D219" s="150" t="e">
        <f t="shared" si="6"/>
        <v>#REF!</v>
      </c>
      <c r="E219" s="105" t="e">
        <f>SUM(E220:E231)</f>
        <v>#REF!</v>
      </c>
      <c r="F219" s="118"/>
      <c r="G219" s="150" t="e">
        <f t="shared" si="7"/>
        <v>#REF!</v>
      </c>
      <c r="H219" s="117" t="e">
        <f>SUM(H220:H231)</f>
        <v>#REF!</v>
      </c>
      <c r="I219" s="148"/>
    </row>
    <row r="220" spans="1:9" ht="16.5">
      <c r="A220" s="290"/>
      <c r="B220" s="17" t="s">
        <v>77</v>
      </c>
      <c r="C220" s="34" t="s">
        <v>355</v>
      </c>
      <c r="D220" s="151" t="e">
        <f t="shared" si="6"/>
        <v>#REF!</v>
      </c>
      <c r="E220" s="96" t="e">
        <f>gog!#REF!+gog!D401</f>
        <v>#REF!</v>
      </c>
      <c r="F220" s="97"/>
      <c r="G220" s="151" t="e">
        <f t="shared" si="7"/>
        <v>#REF!</v>
      </c>
      <c r="H220" s="96" t="e">
        <f>gog!#REF!+gog!G401</f>
        <v>#REF!</v>
      </c>
      <c r="I220" s="97"/>
    </row>
    <row r="221" spans="1:9" ht="16.5">
      <c r="A221" s="275"/>
      <c r="B221" s="18" t="s">
        <v>79</v>
      </c>
      <c r="C221" s="34" t="s">
        <v>608</v>
      </c>
      <c r="D221" s="98" t="e">
        <f t="shared" si="6"/>
        <v>#REF!</v>
      </c>
      <c r="E221" s="96" t="e">
        <f>gog!#REF!+gog!D402</f>
        <v>#REF!</v>
      </c>
      <c r="F221" s="100"/>
      <c r="G221" s="98" t="e">
        <f t="shared" si="7"/>
        <v>#REF!</v>
      </c>
      <c r="H221" s="96" t="e">
        <f>gog!#REF!+gog!G402</f>
        <v>#REF!</v>
      </c>
      <c r="I221" s="100"/>
    </row>
    <row r="222" spans="1:9" ht="16.5">
      <c r="A222" s="275"/>
      <c r="B222" s="18" t="s">
        <v>81</v>
      </c>
      <c r="C222" s="34" t="s">
        <v>609</v>
      </c>
      <c r="D222" s="98" t="e">
        <f t="shared" si="6"/>
        <v>#REF!</v>
      </c>
      <c r="E222" s="96" t="e">
        <f>gog!#REF!+gog!D403</f>
        <v>#REF!</v>
      </c>
      <c r="F222" s="100"/>
      <c r="G222" s="98" t="e">
        <f t="shared" si="7"/>
        <v>#REF!</v>
      </c>
      <c r="H222" s="96" t="e">
        <f>gog!#REF!+gog!G403</f>
        <v>#REF!</v>
      </c>
      <c r="I222" s="100"/>
    </row>
    <row r="223" spans="1:9" ht="16.5">
      <c r="A223" s="275"/>
      <c r="B223" s="18" t="s">
        <v>83</v>
      </c>
      <c r="C223" s="34" t="s">
        <v>610</v>
      </c>
      <c r="D223" s="98" t="e">
        <f t="shared" si="6"/>
        <v>#REF!</v>
      </c>
      <c r="E223" s="96" t="e">
        <f>gog!#REF!+gog!D404</f>
        <v>#REF!</v>
      </c>
      <c r="F223" s="100"/>
      <c r="G223" s="98" t="e">
        <f t="shared" si="7"/>
        <v>#REF!</v>
      </c>
      <c r="H223" s="96" t="e">
        <f>gog!#REF!+gog!G404</f>
        <v>#REF!</v>
      </c>
      <c r="I223" s="100"/>
    </row>
    <row r="224" spans="1:9" ht="16.5">
      <c r="A224" s="275"/>
      <c r="B224" s="18" t="s">
        <v>85</v>
      </c>
      <c r="C224" s="34" t="s">
        <v>611</v>
      </c>
      <c r="D224" s="98" t="e">
        <f t="shared" si="6"/>
        <v>#REF!</v>
      </c>
      <c r="E224" s="96" t="e">
        <f>gog!#REF!+gog!D406</f>
        <v>#REF!</v>
      </c>
      <c r="F224" s="100"/>
      <c r="G224" s="98" t="e">
        <f t="shared" si="7"/>
        <v>#REF!</v>
      </c>
      <c r="H224" s="96" t="e">
        <f>gog!#REF!+gog!G406</f>
        <v>#REF!</v>
      </c>
      <c r="I224" s="100"/>
    </row>
    <row r="225" spans="1:9" ht="16.5">
      <c r="A225" s="275"/>
      <c r="B225" s="18" t="s">
        <v>87</v>
      </c>
      <c r="C225" s="34" t="s">
        <v>612</v>
      </c>
      <c r="D225" s="98" t="e">
        <f t="shared" si="6"/>
        <v>#REF!</v>
      </c>
      <c r="E225" s="96" t="e">
        <f>gog!#REF!+gog!D407</f>
        <v>#REF!</v>
      </c>
      <c r="F225" s="100"/>
      <c r="G225" s="98" t="e">
        <f t="shared" si="7"/>
        <v>#REF!</v>
      </c>
      <c r="H225" s="96" t="e">
        <f>gog!#REF!+gog!G407</f>
        <v>#REF!</v>
      </c>
      <c r="I225" s="100"/>
    </row>
    <row r="226" spans="1:9" ht="16.5">
      <c r="A226" s="275"/>
      <c r="B226" s="18" t="s">
        <v>25</v>
      </c>
      <c r="C226" s="34" t="s">
        <v>613</v>
      </c>
      <c r="D226" s="98" t="e">
        <f t="shared" si="6"/>
        <v>#REF!</v>
      </c>
      <c r="E226" s="96" t="e">
        <f>gog!#REF!+gog!D408</f>
        <v>#REF!</v>
      </c>
      <c r="F226" s="100"/>
      <c r="G226" s="98" t="e">
        <f t="shared" si="7"/>
        <v>#REF!</v>
      </c>
      <c r="H226" s="96" t="e">
        <f>gog!#REF!+gog!G408</f>
        <v>#REF!</v>
      </c>
      <c r="I226" s="100"/>
    </row>
    <row r="227" spans="1:9" ht="16.5">
      <c r="A227" s="275"/>
      <c r="B227" s="18" t="s">
        <v>89</v>
      </c>
      <c r="C227" s="34" t="s">
        <v>614</v>
      </c>
      <c r="D227" s="98" t="e">
        <f t="shared" si="6"/>
        <v>#REF!</v>
      </c>
      <c r="E227" s="96" t="e">
        <f>gog!#REF!+gog!D409</f>
        <v>#REF!</v>
      </c>
      <c r="F227" s="100"/>
      <c r="G227" s="98" t="e">
        <f t="shared" si="7"/>
        <v>#REF!</v>
      </c>
      <c r="H227" s="96" t="e">
        <f>gog!#REF!+gog!G409</f>
        <v>#REF!</v>
      </c>
      <c r="I227" s="100"/>
    </row>
    <row r="228" spans="1:9" ht="16.5">
      <c r="A228" s="275" t="s">
        <v>771</v>
      </c>
      <c r="B228" s="18" t="s">
        <v>91</v>
      </c>
      <c r="C228" s="34" t="s">
        <v>615</v>
      </c>
      <c r="D228" s="98" t="e">
        <f t="shared" si="6"/>
        <v>#REF!</v>
      </c>
      <c r="E228" s="96" t="e">
        <f>gog!#REF!+gog!D410</f>
        <v>#REF!</v>
      </c>
      <c r="F228" s="100"/>
      <c r="G228" s="98" t="e">
        <f t="shared" si="7"/>
        <v>#REF!</v>
      </c>
      <c r="H228" s="96" t="e">
        <f>gog!#REF!+gog!G410</f>
        <v>#REF!</v>
      </c>
      <c r="I228" s="100"/>
    </row>
    <row r="229" spans="1:9" ht="16.5">
      <c r="A229" s="275"/>
      <c r="B229" s="18" t="s">
        <v>95</v>
      </c>
      <c r="C229" s="34" t="s">
        <v>616</v>
      </c>
      <c r="D229" s="98" t="e">
        <f t="shared" si="6"/>
        <v>#REF!</v>
      </c>
      <c r="E229" s="96" t="e">
        <f>gog!#REF!+gog!D411</f>
        <v>#REF!</v>
      </c>
      <c r="F229" s="100"/>
      <c r="G229" s="98" t="e">
        <f t="shared" si="7"/>
        <v>#REF!</v>
      </c>
      <c r="H229" s="96" t="e">
        <f>gog!#REF!+gog!G411</f>
        <v>#REF!</v>
      </c>
      <c r="I229" s="100"/>
    </row>
    <row r="230" spans="1:9" ht="16.5">
      <c r="A230" s="275"/>
      <c r="B230" s="18" t="s">
        <v>97</v>
      </c>
      <c r="C230" s="34" t="s">
        <v>617</v>
      </c>
      <c r="D230" s="98" t="e">
        <f t="shared" si="6"/>
        <v>#REF!</v>
      </c>
      <c r="E230" s="96" t="e">
        <f>gog!#REF!+gog!D413</f>
        <v>#REF!</v>
      </c>
      <c r="F230" s="100"/>
      <c r="G230" s="98" t="e">
        <f t="shared" si="7"/>
        <v>#REF!</v>
      </c>
      <c r="H230" s="96" t="e">
        <f>gog!#REF!+gog!G413</f>
        <v>#REF!</v>
      </c>
      <c r="I230" s="100"/>
    </row>
    <row r="231" spans="1:9" ht="17.25" thickBot="1">
      <c r="A231" s="295"/>
      <c r="B231" s="19" t="s">
        <v>100</v>
      </c>
      <c r="C231" s="36" t="s">
        <v>618</v>
      </c>
      <c r="D231" s="369" t="e">
        <f t="shared" si="6"/>
        <v>#REF!</v>
      </c>
      <c r="E231" s="96" t="e">
        <f>gog!#REF!+gog!D415</f>
        <v>#REF!</v>
      </c>
      <c r="F231" s="114"/>
      <c r="G231" s="369" t="e">
        <f t="shared" si="7"/>
        <v>#REF!</v>
      </c>
      <c r="H231" s="96" t="e">
        <f>gog!#REF!+gog!G415</f>
        <v>#REF!</v>
      </c>
      <c r="I231" s="370"/>
    </row>
    <row r="232" spans="1:9" ht="32.25" thickBot="1">
      <c r="A232" s="275">
        <v>180</v>
      </c>
      <c r="B232" s="497" t="s">
        <v>141</v>
      </c>
      <c r="C232" s="512" t="s">
        <v>2032</v>
      </c>
      <c r="D232" s="150" t="e">
        <f t="shared" si="6"/>
        <v>#REF!</v>
      </c>
      <c r="E232" s="105" t="e">
        <f>E234+E233</f>
        <v>#REF!</v>
      </c>
      <c r="F232" s="118"/>
      <c r="G232" s="545" t="e">
        <f t="shared" si="7"/>
        <v>#REF!</v>
      </c>
      <c r="H232" s="546" t="e">
        <f>SUM(H233:H234)</f>
        <v>#REF!</v>
      </c>
      <c r="I232" s="159"/>
    </row>
    <row r="233" spans="1:9" ht="39">
      <c r="A233" s="275">
        <v>181</v>
      </c>
      <c r="B233" s="281" t="s">
        <v>139</v>
      </c>
      <c r="C233" s="49" t="s">
        <v>2247</v>
      </c>
      <c r="D233" s="151" t="e">
        <f t="shared" si="6"/>
        <v>#REF!</v>
      </c>
      <c r="E233" s="96" t="e">
        <f>gog!#REF!</f>
        <v>#REF!</v>
      </c>
      <c r="F233" s="97"/>
      <c r="G233" s="151" t="e">
        <f t="shared" si="7"/>
        <v>#REF!</v>
      </c>
      <c r="H233" s="96" t="e">
        <f>gog!#REF!</f>
        <v>#REF!</v>
      </c>
      <c r="I233" s="152"/>
    </row>
    <row r="234" spans="1:9" ht="39.75" thickBot="1">
      <c r="A234" s="295">
        <v>182</v>
      </c>
      <c r="B234" s="278" t="s">
        <v>139</v>
      </c>
      <c r="C234" s="40" t="s">
        <v>2248</v>
      </c>
      <c r="D234" s="149" t="e">
        <f t="shared" si="6"/>
        <v>#REF!</v>
      </c>
      <c r="E234" s="96" t="e">
        <f>gog!#REF!</f>
        <v>#REF!</v>
      </c>
      <c r="F234" s="114"/>
      <c r="G234" s="113" t="e">
        <f t="shared" si="7"/>
        <v>#REF!</v>
      </c>
      <c r="H234" s="96" t="e">
        <f>gog!#REF!</f>
        <v>#REF!</v>
      </c>
      <c r="I234" s="114"/>
    </row>
    <row r="235" spans="1:9" ht="36.75" thickBot="1">
      <c r="A235" s="465">
        <v>183</v>
      </c>
      <c r="B235" s="491" t="s">
        <v>142</v>
      </c>
      <c r="C235" s="513" t="s">
        <v>143</v>
      </c>
      <c r="D235" s="448" t="e">
        <f t="shared" si="6"/>
        <v>#REF!</v>
      </c>
      <c r="E235" s="449" t="e">
        <f>SUM(E236:E238)</f>
        <v>#REF!</v>
      </c>
      <c r="F235" s="467" t="e">
        <f>SUM(F236:F238)</f>
        <v>#REF!</v>
      </c>
      <c r="G235" s="448" t="e">
        <f t="shared" si="7"/>
        <v>#REF!</v>
      </c>
      <c r="H235" s="449" t="e">
        <f>SUM(H236:H238)</f>
        <v>#REF!</v>
      </c>
      <c r="I235" s="469" t="e">
        <f>SUM(I236:I238)</f>
        <v>#REF!</v>
      </c>
    </row>
    <row r="236" spans="1:9" ht="16.5">
      <c r="A236" s="459">
        <v>184</v>
      </c>
      <c r="B236" s="460" t="s">
        <v>89</v>
      </c>
      <c r="C236" s="461" t="s">
        <v>2078</v>
      </c>
      <c r="D236" s="462" t="e">
        <f t="shared" si="6"/>
        <v>#REF!</v>
      </c>
      <c r="E236" s="463" t="e">
        <f>E247</f>
        <v>#REF!</v>
      </c>
      <c r="F236" s="468" t="e">
        <f>F247</f>
        <v>#REF!</v>
      </c>
      <c r="G236" s="462" t="e">
        <f t="shared" si="7"/>
        <v>#REF!</v>
      </c>
      <c r="H236" s="464" t="e">
        <f>H247</f>
        <v>#REF!</v>
      </c>
      <c r="I236" s="470" t="e">
        <f>I247</f>
        <v>#REF!</v>
      </c>
    </row>
    <row r="237" spans="1:9" ht="26.25">
      <c r="A237" s="450">
        <v>185</v>
      </c>
      <c r="B237" s="272" t="s">
        <v>144</v>
      </c>
      <c r="C237" s="451" t="s">
        <v>145</v>
      </c>
      <c r="D237" s="466" t="e">
        <f t="shared" si="6"/>
        <v>#REF!</v>
      </c>
      <c r="E237" s="452" t="e">
        <f>E243+E245+E248+E251+E253+E255+E257</f>
        <v>#REF!</v>
      </c>
      <c r="F237" s="447" t="e">
        <f>F243+F245+F248+F251+F253+F255+F257</f>
        <v>#REF!</v>
      </c>
      <c r="G237" s="466" t="e">
        <f t="shared" si="7"/>
        <v>#REF!</v>
      </c>
      <c r="H237" s="452" t="e">
        <f>H243+H245+H248+H251+H253+H255+H257</f>
        <v>#REF!</v>
      </c>
      <c r="I237" s="447" t="e">
        <f>I243+I245+I248+I251+I253+I255+I257</f>
        <v>#REF!</v>
      </c>
    </row>
    <row r="238" spans="1:9" ht="17.25" thickBot="1">
      <c r="A238" s="455">
        <v>186</v>
      </c>
      <c r="B238" s="453" t="s">
        <v>97</v>
      </c>
      <c r="C238" s="454" t="s">
        <v>1591</v>
      </c>
      <c r="D238" s="456" t="e">
        <f t="shared" si="6"/>
        <v>#REF!</v>
      </c>
      <c r="E238" s="457" t="e">
        <f>E240</f>
        <v>#REF!</v>
      </c>
      <c r="F238" s="158">
        <f>F240</f>
        <v>0</v>
      </c>
      <c r="G238" s="456" t="e">
        <f t="shared" si="7"/>
        <v>#REF!</v>
      </c>
      <c r="H238" s="458" t="e">
        <f>H240</f>
        <v>#REF!</v>
      </c>
      <c r="I238" s="182">
        <f>I240</f>
        <v>0</v>
      </c>
    </row>
    <row r="239" spans="1:9" ht="17.25" thickBot="1">
      <c r="A239" s="290">
        <v>187</v>
      </c>
      <c r="B239" s="497" t="s">
        <v>2034</v>
      </c>
      <c r="C239" s="511" t="s">
        <v>2033</v>
      </c>
      <c r="D239" s="101" t="e">
        <f t="shared" si="6"/>
        <v>#REF!</v>
      </c>
      <c r="E239" s="439" t="e">
        <f>E240</f>
        <v>#REF!</v>
      </c>
      <c r="F239" s="158">
        <f>F240</f>
        <v>0</v>
      </c>
      <c r="G239" s="101" t="e">
        <f t="shared" si="7"/>
        <v>#REF!</v>
      </c>
      <c r="H239" s="478" t="e">
        <f>H240</f>
        <v>#REF!</v>
      </c>
      <c r="I239" s="182">
        <f>I240</f>
        <v>0</v>
      </c>
    </row>
    <row r="240" spans="1:9" ht="17.25" thickBot="1">
      <c r="A240" s="295">
        <v>188</v>
      </c>
      <c r="B240" s="19" t="s">
        <v>97</v>
      </c>
      <c r="C240" s="41" t="s">
        <v>257</v>
      </c>
      <c r="D240" s="95" t="e">
        <f t="shared" si="6"/>
        <v>#REF!</v>
      </c>
      <c r="E240" s="121" t="e">
        <f>gog!#REF!</f>
        <v>#REF!</v>
      </c>
      <c r="F240" s="124"/>
      <c r="G240" s="95" t="e">
        <f t="shared" si="7"/>
        <v>#REF!</v>
      </c>
      <c r="H240" s="156" t="e">
        <f>gog!#REF!</f>
        <v>#REF!</v>
      </c>
      <c r="I240" s="475"/>
    </row>
    <row r="241" spans="1:9" ht="17.25" thickBot="1">
      <c r="A241" s="48">
        <v>189</v>
      </c>
      <c r="B241" s="497" t="s">
        <v>146</v>
      </c>
      <c r="C241" s="494" t="s">
        <v>147</v>
      </c>
      <c r="D241" s="150" t="e">
        <f t="shared" si="6"/>
        <v>#REF!</v>
      </c>
      <c r="E241" s="105" t="e">
        <f>E242+E244+E246</f>
        <v>#REF!</v>
      </c>
      <c r="F241" s="118" t="e">
        <f>F242+F244+F246</f>
        <v>#REF!</v>
      </c>
      <c r="G241" s="150" t="e">
        <f t="shared" si="7"/>
        <v>#REF!</v>
      </c>
      <c r="H241" s="105" t="e">
        <f>H242+H244+H246</f>
        <v>#REF!</v>
      </c>
      <c r="I241" s="148" t="e">
        <f>I242+I244+I246</f>
        <v>#REF!</v>
      </c>
    </row>
    <row r="242" spans="1:9" ht="71.25">
      <c r="A242" s="290"/>
      <c r="B242" s="476" t="s">
        <v>260</v>
      </c>
      <c r="C242" s="477" t="s">
        <v>258</v>
      </c>
      <c r="D242" s="151">
        <f t="shared" si="6"/>
        <v>22306700</v>
      </c>
      <c r="E242" s="483">
        <f>E243</f>
        <v>22306700</v>
      </c>
      <c r="F242" s="484">
        <f>F243</f>
        <v>0</v>
      </c>
      <c r="G242" s="151">
        <f t="shared" si="7"/>
        <v>-22306700</v>
      </c>
      <c r="H242" s="154">
        <f>H243</f>
        <v>-22306700</v>
      </c>
      <c r="I242" s="155">
        <f>I243</f>
        <v>0</v>
      </c>
    </row>
    <row r="243" spans="1:9" ht="26.25">
      <c r="A243" s="275">
        <v>190</v>
      </c>
      <c r="B243" s="9" t="s">
        <v>144</v>
      </c>
      <c r="C243" s="31" t="s">
        <v>259</v>
      </c>
      <c r="D243" s="98">
        <f t="shared" si="6"/>
        <v>22306700</v>
      </c>
      <c r="E243" s="99">
        <f>gog!D468</f>
        <v>22306700</v>
      </c>
      <c r="F243" s="100">
        <f>gog!E468</f>
        <v>0</v>
      </c>
      <c r="G243" s="98">
        <f t="shared" si="7"/>
        <v>-22306700</v>
      </c>
      <c r="H243" s="99">
        <f>-gog!G468</f>
        <v>-22306700</v>
      </c>
      <c r="I243" s="100">
        <f>gog!H468</f>
        <v>0</v>
      </c>
    </row>
    <row r="244" spans="1:9" ht="72">
      <c r="A244" s="275"/>
      <c r="B244" s="471" t="s">
        <v>262</v>
      </c>
      <c r="C244" s="472" t="s">
        <v>265</v>
      </c>
      <c r="D244" s="98" t="e">
        <f t="shared" si="6"/>
        <v>#REF!</v>
      </c>
      <c r="E244" s="485" t="e">
        <f>E245</f>
        <v>#REF!</v>
      </c>
      <c r="F244" s="486" t="e">
        <f>F245</f>
        <v>#REF!</v>
      </c>
      <c r="G244" s="98" t="e">
        <f t="shared" si="7"/>
        <v>#REF!</v>
      </c>
      <c r="H244" s="485" t="e">
        <f>H245</f>
        <v>#REF!</v>
      </c>
      <c r="I244" s="486" t="e">
        <f>I245</f>
        <v>#REF!</v>
      </c>
    </row>
    <row r="245" spans="1:9" ht="26.25">
      <c r="A245" s="295">
        <v>191</v>
      </c>
      <c r="B245" s="473" t="s">
        <v>144</v>
      </c>
      <c r="C245" s="32" t="s">
        <v>264</v>
      </c>
      <c r="D245" s="98" t="e">
        <f t="shared" si="6"/>
        <v>#REF!</v>
      </c>
      <c r="E245" s="99" t="e">
        <f>gog!#REF!</f>
        <v>#REF!</v>
      </c>
      <c r="F245" s="100" t="e">
        <f>gog!#REF!</f>
        <v>#REF!</v>
      </c>
      <c r="G245" s="98" t="e">
        <f t="shared" si="7"/>
        <v>#REF!</v>
      </c>
      <c r="H245" s="99" t="e">
        <f>gog!#REF!</f>
        <v>#REF!</v>
      </c>
      <c r="I245" s="100" t="e">
        <f>gog!#REF!</f>
        <v>#REF!</v>
      </c>
    </row>
    <row r="246" spans="1:9" ht="29.25">
      <c r="A246" s="275"/>
      <c r="B246" s="471" t="s">
        <v>268</v>
      </c>
      <c r="C246" s="472" t="s">
        <v>267</v>
      </c>
      <c r="D246" s="98" t="e">
        <f t="shared" si="6"/>
        <v>#REF!</v>
      </c>
      <c r="E246" s="487" t="e">
        <f>SUM(E247:E248)</f>
        <v>#REF!</v>
      </c>
      <c r="F246" s="486" t="e">
        <f>SUM(F247:F248)</f>
        <v>#REF!</v>
      </c>
      <c r="G246" s="98" t="e">
        <f t="shared" si="7"/>
        <v>#REF!</v>
      </c>
      <c r="H246" s="487" t="e">
        <f>SUM(H247:H248)</f>
        <v>#REF!</v>
      </c>
      <c r="I246" s="486" t="e">
        <f>SUM(I247:I248)</f>
        <v>#REF!</v>
      </c>
    </row>
    <row r="247" spans="1:9" ht="16.5">
      <c r="A247" s="290"/>
      <c r="B247" s="474" t="s">
        <v>89</v>
      </c>
      <c r="C247" s="34" t="s">
        <v>263</v>
      </c>
      <c r="D247" s="98" t="e">
        <f t="shared" si="6"/>
        <v>#REF!</v>
      </c>
      <c r="E247" s="99" t="e">
        <f>gog!#REF!</f>
        <v>#REF!</v>
      </c>
      <c r="F247" s="100" t="e">
        <f>gog!#REF!</f>
        <v>#REF!</v>
      </c>
      <c r="G247" s="98" t="e">
        <f t="shared" si="7"/>
        <v>#REF!</v>
      </c>
      <c r="H247" s="99" t="e">
        <f>gog!#REF!</f>
        <v>#REF!</v>
      </c>
      <c r="I247" s="100" t="e">
        <f>gog!#REF!</f>
        <v>#REF!</v>
      </c>
    </row>
    <row r="248" spans="1:9" ht="27" thickBot="1">
      <c r="A248" s="295"/>
      <c r="B248" s="473" t="s">
        <v>144</v>
      </c>
      <c r="C248" s="32" t="s">
        <v>266</v>
      </c>
      <c r="D248" s="149" t="e">
        <f t="shared" si="6"/>
        <v>#REF!</v>
      </c>
      <c r="E248" s="102" t="e">
        <f>gog!#REF!</f>
        <v>#REF!</v>
      </c>
      <c r="F248" s="103" t="e">
        <f>gog!#REF!</f>
        <v>#REF!</v>
      </c>
      <c r="G248" s="113" t="e">
        <f t="shared" si="7"/>
        <v>#REF!</v>
      </c>
      <c r="H248" s="102" t="e">
        <f>gog!#REF!</f>
        <v>#REF!</v>
      </c>
      <c r="I248" s="103" t="e">
        <f>gog!#REF!</f>
        <v>#REF!</v>
      </c>
    </row>
    <row r="249" spans="1:9" ht="17.25" thickBot="1">
      <c r="A249" s="48">
        <v>192</v>
      </c>
      <c r="B249" s="482" t="s">
        <v>2041</v>
      </c>
      <c r="C249" s="428" t="s">
        <v>2042</v>
      </c>
      <c r="D249" s="150">
        <f t="shared" si="6"/>
        <v>22320500</v>
      </c>
      <c r="E249" s="488">
        <f>E250+E252+E254+E256</f>
        <v>22306700</v>
      </c>
      <c r="F249" s="489">
        <f>F250+F252+F254+F256</f>
        <v>13800</v>
      </c>
      <c r="G249" s="150">
        <f t="shared" si="7"/>
        <v>13800</v>
      </c>
      <c r="H249" s="488">
        <f>H250+H252+H254+H256</f>
        <v>0</v>
      </c>
      <c r="I249" s="490">
        <f>I250+I252+I254+I256</f>
        <v>13800</v>
      </c>
    </row>
    <row r="250" spans="1:9" ht="16.5">
      <c r="A250" s="290"/>
      <c r="B250" s="481" t="s">
        <v>2249</v>
      </c>
      <c r="C250" s="477" t="s">
        <v>2291</v>
      </c>
      <c r="D250" s="151">
        <f t="shared" si="6"/>
        <v>22308500</v>
      </c>
      <c r="E250" s="96">
        <f>E251</f>
        <v>22306700</v>
      </c>
      <c r="F250" s="97">
        <f>F251</f>
        <v>1800</v>
      </c>
      <c r="G250" s="113">
        <f t="shared" si="7"/>
        <v>1800</v>
      </c>
      <c r="H250" s="96">
        <f>H251</f>
        <v>0</v>
      </c>
      <c r="I250" s="97">
        <f>I251</f>
        <v>1800</v>
      </c>
    </row>
    <row r="251" spans="1:9" ht="26.25">
      <c r="A251" s="275"/>
      <c r="B251" s="9" t="s">
        <v>144</v>
      </c>
      <c r="C251" s="31" t="s">
        <v>2292</v>
      </c>
      <c r="D251" s="98">
        <f t="shared" si="6"/>
        <v>22308500</v>
      </c>
      <c r="E251" s="99">
        <f>gog!D468</f>
        <v>22306700</v>
      </c>
      <c r="F251" s="100">
        <f>gog!E482</f>
        <v>1800</v>
      </c>
      <c r="G251" s="98">
        <f t="shared" si="7"/>
        <v>1800</v>
      </c>
      <c r="H251" s="99">
        <f>gog!G482</f>
        <v>0</v>
      </c>
      <c r="I251" s="100">
        <f>gog!H482</f>
        <v>1800</v>
      </c>
    </row>
    <row r="252" spans="1:9" ht="78.75">
      <c r="A252" s="275"/>
      <c r="B252" s="479" t="s">
        <v>2288</v>
      </c>
      <c r="C252" s="472" t="s">
        <v>2293</v>
      </c>
      <c r="D252" s="98">
        <f t="shared" si="6"/>
        <v>0</v>
      </c>
      <c r="E252" s="487">
        <f>E253</f>
        <v>0</v>
      </c>
      <c r="F252" s="486">
        <f>F253</f>
        <v>0</v>
      </c>
      <c r="G252" s="98">
        <f t="shared" si="7"/>
        <v>0</v>
      </c>
      <c r="H252" s="487">
        <f>H253</f>
        <v>0</v>
      </c>
      <c r="I252" s="486">
        <f>I253</f>
        <v>0</v>
      </c>
    </row>
    <row r="253" spans="1:9" ht="26.25">
      <c r="A253" s="275"/>
      <c r="B253" s="9" t="s">
        <v>144</v>
      </c>
      <c r="C253" s="31" t="s">
        <v>2294</v>
      </c>
      <c r="D253" s="98">
        <f t="shared" si="6"/>
        <v>0</v>
      </c>
      <c r="E253" s="99">
        <f>gog!D489</f>
        <v>0</v>
      </c>
      <c r="F253" s="100">
        <f>gog!E491</f>
        <v>0</v>
      </c>
      <c r="G253" s="98">
        <f t="shared" si="7"/>
        <v>0</v>
      </c>
      <c r="H253" s="99">
        <f>gog!G489</f>
        <v>0</v>
      </c>
      <c r="I253" s="100">
        <f>gog!H489</f>
        <v>0</v>
      </c>
    </row>
    <row r="254" spans="1:9" ht="16.5">
      <c r="A254" s="275"/>
      <c r="B254" s="480" t="s">
        <v>2289</v>
      </c>
      <c r="C254" s="472" t="s">
        <v>2296</v>
      </c>
      <c r="D254" s="98">
        <f t="shared" si="6"/>
        <v>0</v>
      </c>
      <c r="E254" s="487">
        <f>E255</f>
        <v>0</v>
      </c>
      <c r="F254" s="486">
        <f>F255</f>
        <v>0</v>
      </c>
      <c r="G254" s="98">
        <f t="shared" si="7"/>
        <v>0</v>
      </c>
      <c r="H254" s="487">
        <f>H255</f>
        <v>0</v>
      </c>
      <c r="I254" s="486">
        <f>I255</f>
        <v>0</v>
      </c>
    </row>
    <row r="255" spans="1:9" ht="26.25">
      <c r="A255" s="275">
        <v>193</v>
      </c>
      <c r="B255" s="9" t="s">
        <v>144</v>
      </c>
      <c r="C255" s="31" t="s">
        <v>2295</v>
      </c>
      <c r="D255" s="98">
        <f t="shared" si="6"/>
        <v>0</v>
      </c>
      <c r="E255" s="99">
        <f>gog!D491</f>
        <v>0</v>
      </c>
      <c r="F255" s="100">
        <f>gog!E491</f>
        <v>0</v>
      </c>
      <c r="G255" s="98">
        <f t="shared" si="7"/>
        <v>0</v>
      </c>
      <c r="H255" s="99">
        <f>gog!G491</f>
        <v>0</v>
      </c>
      <c r="I255" s="100">
        <f>gog!H491</f>
        <v>0</v>
      </c>
    </row>
    <row r="256" spans="1:9" ht="31.5">
      <c r="A256" s="275"/>
      <c r="B256" s="480" t="s">
        <v>2290</v>
      </c>
      <c r="C256" s="472" t="s">
        <v>2297</v>
      </c>
      <c r="D256" s="98">
        <f t="shared" si="6"/>
        <v>12000</v>
      </c>
      <c r="E256" s="487">
        <f>E257</f>
        <v>0</v>
      </c>
      <c r="F256" s="486">
        <f>F257</f>
        <v>12000</v>
      </c>
      <c r="G256" s="98">
        <f t="shared" si="7"/>
        <v>12000</v>
      </c>
      <c r="H256" s="487">
        <f>H257</f>
        <v>0</v>
      </c>
      <c r="I256" s="486">
        <f>I257</f>
        <v>12000</v>
      </c>
    </row>
    <row r="257" spans="1:9" ht="27" thickBot="1">
      <c r="A257" s="275"/>
      <c r="B257" s="473" t="s">
        <v>144</v>
      </c>
      <c r="C257" s="32" t="s">
        <v>2298</v>
      </c>
      <c r="D257" s="149">
        <f t="shared" si="6"/>
        <v>12000</v>
      </c>
      <c r="E257" s="102">
        <f>gog!D497</f>
        <v>0</v>
      </c>
      <c r="F257" s="103">
        <f>gog!E497</f>
        <v>12000</v>
      </c>
      <c r="G257" s="113">
        <f t="shared" si="7"/>
        <v>12000</v>
      </c>
      <c r="H257" s="102">
        <f>gog!G497</f>
        <v>0</v>
      </c>
      <c r="I257" s="103">
        <f>gog!H497</f>
        <v>12000</v>
      </c>
    </row>
    <row r="258" spans="1:9" ht="17.25" thickBot="1">
      <c r="A258" s="534">
        <v>194</v>
      </c>
      <c r="B258" s="417" t="s">
        <v>148</v>
      </c>
      <c r="C258" s="535" t="s">
        <v>149</v>
      </c>
      <c r="D258" s="135" t="e">
        <f t="shared" si="6"/>
        <v>#REF!</v>
      </c>
      <c r="E258" s="141" t="e">
        <f>SUM(E259:E270)</f>
        <v>#REF!</v>
      </c>
      <c r="F258" s="141">
        <f>F271+F297+F326+F342</f>
        <v>0</v>
      </c>
      <c r="G258" s="135">
        <f t="shared" si="7"/>
        <v>25046984.16</v>
      </c>
      <c r="H258" s="141">
        <f>H271+H297+H326+H342</f>
        <v>25046984.16</v>
      </c>
      <c r="I258" s="141">
        <f>I271+I297+I326+I342</f>
        <v>0</v>
      </c>
    </row>
    <row r="259" spans="1:9" ht="16.5">
      <c r="A259" s="275">
        <v>195</v>
      </c>
      <c r="B259" s="18" t="s">
        <v>77</v>
      </c>
      <c r="C259" s="31" t="s">
        <v>1645</v>
      </c>
      <c r="D259" s="95">
        <f t="shared" si="6"/>
        <v>28076402.690000001</v>
      </c>
      <c r="E259" s="99">
        <f>E272+E298+E311+E324+E330+E343</f>
        <v>28076402.690000001</v>
      </c>
      <c r="F259" s="100">
        <f>F272+F298+F311+F324+F330+F343</f>
        <v>0</v>
      </c>
      <c r="G259" s="95">
        <f t="shared" si="7"/>
        <v>27776073.629999999</v>
      </c>
      <c r="H259" s="99">
        <f>H272+H298+H311+H324+H330+H343</f>
        <v>27776073.629999999</v>
      </c>
      <c r="I259" s="100">
        <f>I272+I298+I311+I324+I330+I343</f>
        <v>0</v>
      </c>
    </row>
    <row r="260" spans="1:9" ht="16.5">
      <c r="A260" s="275">
        <v>196</v>
      </c>
      <c r="B260" s="18" t="s">
        <v>79</v>
      </c>
      <c r="C260" s="31" t="s">
        <v>1646</v>
      </c>
      <c r="D260" s="98" t="e">
        <f t="shared" si="6"/>
        <v>#REF!</v>
      </c>
      <c r="E260" s="99" t="e">
        <f>E273+E299+E312+E331+E344+E356</f>
        <v>#REF!</v>
      </c>
      <c r="F260" s="100">
        <f>F273+F299+F312+F331+F344+F356</f>
        <v>0</v>
      </c>
      <c r="G260" s="98" t="e">
        <f t="shared" si="7"/>
        <v>#REF!</v>
      </c>
      <c r="H260" s="99" t="e">
        <f>H273+H299+H312+H331+H344+H356</f>
        <v>#REF!</v>
      </c>
      <c r="I260" s="100">
        <f>I273+I299+I312+I331+I344+I356</f>
        <v>0</v>
      </c>
    </row>
    <row r="261" spans="1:9" ht="16.5">
      <c r="A261" s="275">
        <v>197</v>
      </c>
      <c r="B261" s="18" t="s">
        <v>81</v>
      </c>
      <c r="C261" s="31" t="s">
        <v>1647</v>
      </c>
      <c r="D261" s="98" t="e">
        <f t="shared" si="6"/>
        <v>#REF!</v>
      </c>
      <c r="E261" s="99" t="e">
        <f>E274+E300+E313+E325+E332+E345</f>
        <v>#REF!</v>
      </c>
      <c r="F261" s="100">
        <f>F274+F300+F313+F325+F332+F345</f>
        <v>0</v>
      </c>
      <c r="G261" s="98" t="e">
        <f t="shared" si="7"/>
        <v>#REF!</v>
      </c>
      <c r="H261" s="99" t="e">
        <f>H274+H300+H313+H325+H332+H345</f>
        <v>#REF!</v>
      </c>
      <c r="I261" s="100">
        <f>I274+I300+I313+I325+I332+I345</f>
        <v>0</v>
      </c>
    </row>
    <row r="262" spans="1:9" ht="16.5">
      <c r="A262" s="275">
        <v>198</v>
      </c>
      <c r="B262" s="18" t="s">
        <v>83</v>
      </c>
      <c r="C262" s="31" t="s">
        <v>1648</v>
      </c>
      <c r="D262" s="98">
        <f t="shared" si="6"/>
        <v>563775.44999999995</v>
      </c>
      <c r="E262" s="99">
        <f>E275+E301+E314+E333+E347</f>
        <v>563775.44999999995</v>
      </c>
      <c r="F262" s="100">
        <f>F275+F301+F314+F333+F347</f>
        <v>0</v>
      </c>
      <c r="G262" s="98">
        <f t="shared" si="7"/>
        <v>425170.15999999992</v>
      </c>
      <c r="H262" s="99">
        <f>H275+H301+H314+H333+H347</f>
        <v>425170.15999999992</v>
      </c>
      <c r="I262" s="100">
        <f>I275+I301+I314+I333+I347</f>
        <v>0</v>
      </c>
    </row>
    <row r="263" spans="1:9" ht="16.5">
      <c r="A263" s="275">
        <v>199</v>
      </c>
      <c r="B263" s="18" t="s">
        <v>85</v>
      </c>
      <c r="C263" s="31" t="s">
        <v>1649</v>
      </c>
      <c r="D263" s="98">
        <f t="shared" si="6"/>
        <v>2242709.8000000003</v>
      </c>
      <c r="E263" s="99">
        <f t="shared" ref="E263:F266" si="13">E276+E302+E315+E334+E347</f>
        <v>2242709.8000000003</v>
      </c>
      <c r="F263" s="100">
        <f t="shared" si="13"/>
        <v>0</v>
      </c>
      <c r="G263" s="98">
        <f t="shared" si="7"/>
        <v>1951747.74</v>
      </c>
      <c r="H263" s="99">
        <f t="shared" ref="H263:I266" si="14">H276+H302+H315+H334+H347</f>
        <v>1951747.74</v>
      </c>
      <c r="I263" s="100">
        <f t="shared" si="14"/>
        <v>0</v>
      </c>
    </row>
    <row r="264" spans="1:9" ht="16.5">
      <c r="A264" s="275">
        <v>200</v>
      </c>
      <c r="B264" s="18" t="s">
        <v>87</v>
      </c>
      <c r="C264" s="31" t="s">
        <v>1650</v>
      </c>
      <c r="D264" s="98">
        <f t="shared" si="6"/>
        <v>163352.97</v>
      </c>
      <c r="E264" s="99">
        <f t="shared" si="13"/>
        <v>163352.97</v>
      </c>
      <c r="F264" s="100">
        <f t="shared" si="13"/>
        <v>0</v>
      </c>
      <c r="G264" s="98">
        <f t="shared" si="7"/>
        <v>151644.35</v>
      </c>
      <c r="H264" s="99">
        <f t="shared" si="14"/>
        <v>151644.35</v>
      </c>
      <c r="I264" s="100">
        <f t="shared" si="14"/>
        <v>0</v>
      </c>
    </row>
    <row r="265" spans="1:9" ht="16.5">
      <c r="A265" s="275">
        <v>201</v>
      </c>
      <c r="B265" s="18" t="s">
        <v>25</v>
      </c>
      <c r="C265" s="31" t="s">
        <v>1651</v>
      </c>
      <c r="D265" s="98">
        <f t="shared" si="6"/>
        <v>0</v>
      </c>
      <c r="E265" s="99">
        <f t="shared" si="13"/>
        <v>0</v>
      </c>
      <c r="F265" s="100">
        <f t="shared" si="13"/>
        <v>0</v>
      </c>
      <c r="G265" s="98">
        <f t="shared" si="7"/>
        <v>0</v>
      </c>
      <c r="H265" s="99">
        <f t="shared" si="14"/>
        <v>0</v>
      </c>
      <c r="I265" s="100">
        <f t="shared" si="14"/>
        <v>0</v>
      </c>
    </row>
    <row r="266" spans="1:9" ht="16.5">
      <c r="A266" s="275">
        <v>202</v>
      </c>
      <c r="B266" s="18" t="s">
        <v>89</v>
      </c>
      <c r="C266" s="31" t="s">
        <v>1652</v>
      </c>
      <c r="D266" s="98">
        <f t="shared" si="6"/>
        <v>605228.04999999993</v>
      </c>
      <c r="E266" s="99">
        <f t="shared" si="13"/>
        <v>605228.04999999993</v>
      </c>
      <c r="F266" s="100">
        <f t="shared" si="13"/>
        <v>0</v>
      </c>
      <c r="G266" s="98">
        <f t="shared" si="7"/>
        <v>504281.50999999995</v>
      </c>
      <c r="H266" s="99">
        <f t="shared" si="14"/>
        <v>504281.50999999995</v>
      </c>
      <c r="I266" s="100">
        <f t="shared" si="14"/>
        <v>0</v>
      </c>
    </row>
    <row r="267" spans="1:9" ht="16.5">
      <c r="A267" s="275">
        <v>203</v>
      </c>
      <c r="B267" s="18" t="s">
        <v>91</v>
      </c>
      <c r="C267" s="31" t="s">
        <v>1653</v>
      </c>
      <c r="D267" s="98" t="e">
        <f t="shared" si="6"/>
        <v>#REF!</v>
      </c>
      <c r="E267" s="99" t="e">
        <f>-E280+E306+E319+E327+E338+E351+E357</f>
        <v>#REF!</v>
      </c>
      <c r="F267" s="100">
        <f>-F280+F306+F319+F327+F338+F351+F357</f>
        <v>0</v>
      </c>
      <c r="G267" s="98" t="e">
        <f t="shared" si="7"/>
        <v>#REF!</v>
      </c>
      <c r="H267" s="99" t="e">
        <f>-H280+H306+H319+H327+H338+H351+H357</f>
        <v>#REF!</v>
      </c>
      <c r="I267" s="100">
        <f>-I280+I306+I319+I327+I338+I351+I357</f>
        <v>0</v>
      </c>
    </row>
    <row r="268" spans="1:9" ht="16.5">
      <c r="A268" s="275">
        <v>204</v>
      </c>
      <c r="B268" s="18" t="s">
        <v>95</v>
      </c>
      <c r="C268" s="31" t="s">
        <v>1654</v>
      </c>
      <c r="D268" s="98">
        <f t="shared" si="6"/>
        <v>200366.6</v>
      </c>
      <c r="E268" s="99">
        <f>E281+E307+E320+E339+E352</f>
        <v>200366.6</v>
      </c>
      <c r="F268" s="100">
        <f>F281+F307+F320+F339+F352</f>
        <v>0</v>
      </c>
      <c r="G268" s="98">
        <f t="shared" si="7"/>
        <v>128490.74</v>
      </c>
      <c r="H268" s="99">
        <f>H281+H307+H320+H339+H352</f>
        <v>128490.74</v>
      </c>
      <c r="I268" s="100">
        <f>I281+I307+I320+I339+I352</f>
        <v>0</v>
      </c>
    </row>
    <row r="269" spans="1:9" ht="16.5">
      <c r="A269" s="275">
        <v>205</v>
      </c>
      <c r="B269" s="18" t="s">
        <v>97</v>
      </c>
      <c r="C269" s="31" t="s">
        <v>1655</v>
      </c>
      <c r="D269" s="98">
        <f t="shared" si="6"/>
        <v>1104023.8400000001</v>
      </c>
      <c r="E269" s="99">
        <f>E282+E308+E321+E328+E340+E353</f>
        <v>1104023.8400000001</v>
      </c>
      <c r="F269" s="100">
        <f>F282+F308+F321+F328+F340+F353</f>
        <v>0</v>
      </c>
      <c r="G269" s="98">
        <f t="shared" si="7"/>
        <v>721441.63</v>
      </c>
      <c r="H269" s="99">
        <f>H282+H308+H321+H328+H340+H353</f>
        <v>721441.63</v>
      </c>
      <c r="I269" s="100">
        <f>I282+I308+I321+I328+I340+I353</f>
        <v>0</v>
      </c>
    </row>
    <row r="270" spans="1:9" ht="17.25" thickBot="1">
      <c r="A270" s="275">
        <v>206</v>
      </c>
      <c r="B270" s="19" t="s">
        <v>100</v>
      </c>
      <c r="C270" s="31" t="s">
        <v>1656</v>
      </c>
      <c r="D270" s="101" t="e">
        <f t="shared" si="6"/>
        <v>#REF!</v>
      </c>
      <c r="E270" s="102" t="e">
        <f>E283+E309+E322+E341+E354+E358</f>
        <v>#REF!</v>
      </c>
      <c r="F270" s="103">
        <f>F283+F309+F322+F341+F354+F358</f>
        <v>0</v>
      </c>
      <c r="G270" s="101" t="e">
        <f t="shared" si="7"/>
        <v>#REF!</v>
      </c>
      <c r="H270" s="102" t="e">
        <f>H283+H309+H322+H341+H354+H358</f>
        <v>#REF!</v>
      </c>
      <c r="I270" s="103">
        <f>I283+I309+I322+I341+I354+I358</f>
        <v>0</v>
      </c>
    </row>
    <row r="271" spans="1:9" ht="17.25" thickBot="1">
      <c r="A271" s="275">
        <v>207</v>
      </c>
      <c r="B271" s="497" t="s">
        <v>161</v>
      </c>
      <c r="C271" s="500" t="s">
        <v>270</v>
      </c>
      <c r="D271" s="104">
        <f t="shared" si="6"/>
        <v>7756900.3499999996</v>
      </c>
      <c r="E271" s="105">
        <f>SUM(E272:E283)</f>
        <v>7756900.3499999996</v>
      </c>
      <c r="F271" s="106">
        <f>SUM(F272:F283)</f>
        <v>0</v>
      </c>
      <c r="G271" s="104">
        <f t="shared" si="7"/>
        <v>6384476.3499999996</v>
      </c>
      <c r="H271" s="160">
        <f>SUM(H272:H283)</f>
        <v>6384476.3499999996</v>
      </c>
      <c r="I271" s="128">
        <f>SUM(I272:I283)</f>
        <v>0</v>
      </c>
    </row>
    <row r="272" spans="1:9" ht="16.5">
      <c r="A272" s="275">
        <v>208</v>
      </c>
      <c r="B272" s="17" t="s">
        <v>77</v>
      </c>
      <c r="C272" s="34" t="s">
        <v>269</v>
      </c>
      <c r="D272" s="95">
        <f t="shared" si="6"/>
        <v>0</v>
      </c>
      <c r="E272" s="96">
        <f>gog!D522</f>
        <v>0</v>
      </c>
      <c r="F272" s="97"/>
      <c r="G272" s="95">
        <f t="shared" si="7"/>
        <v>0</v>
      </c>
      <c r="H272" s="96">
        <f>gog!G522</f>
        <v>0</v>
      </c>
      <c r="I272" s="132"/>
    </row>
    <row r="273" spans="1:9" ht="16.5">
      <c r="A273" s="275">
        <v>209</v>
      </c>
      <c r="B273" s="18" t="s">
        <v>79</v>
      </c>
      <c r="C273" s="34" t="s">
        <v>271</v>
      </c>
      <c r="D273" s="98">
        <f t="shared" ref="D273:D416" si="15">E273+F273</f>
        <v>782316.01</v>
      </c>
      <c r="E273" s="96">
        <f>gog!D523</f>
        <v>782316.01</v>
      </c>
      <c r="F273" s="100"/>
      <c r="G273" s="98">
        <f t="shared" ref="G273:G416" si="16">H273+I273</f>
        <v>732756.2</v>
      </c>
      <c r="H273" s="96">
        <f>gog!G523</f>
        <v>732756.2</v>
      </c>
      <c r="I273" s="133"/>
    </row>
    <row r="274" spans="1:9" ht="16.5">
      <c r="A274" s="275">
        <v>210</v>
      </c>
      <c r="B274" s="18" t="s">
        <v>81</v>
      </c>
      <c r="C274" s="34" t="s">
        <v>272</v>
      </c>
      <c r="D274" s="98">
        <f t="shared" si="15"/>
        <v>0</v>
      </c>
      <c r="E274" s="96">
        <f>gog!D524</f>
        <v>0</v>
      </c>
      <c r="F274" s="100"/>
      <c r="G274" s="98">
        <f t="shared" si="16"/>
        <v>0</v>
      </c>
      <c r="H274" s="96">
        <f>gog!G524</f>
        <v>0</v>
      </c>
      <c r="I274" s="133"/>
    </row>
    <row r="275" spans="1:9" ht="16.5">
      <c r="A275" s="275">
        <v>211</v>
      </c>
      <c r="B275" s="18" t="s">
        <v>83</v>
      </c>
      <c r="C275" s="34" t="s">
        <v>273</v>
      </c>
      <c r="D275" s="98">
        <f t="shared" si="15"/>
        <v>0</v>
      </c>
      <c r="E275" s="96">
        <f>gog!D526</f>
        <v>0</v>
      </c>
      <c r="F275" s="100"/>
      <c r="G275" s="98">
        <f t="shared" si="16"/>
        <v>0</v>
      </c>
      <c r="H275" s="96">
        <f>gog!G526</f>
        <v>0</v>
      </c>
      <c r="I275" s="133"/>
    </row>
    <row r="276" spans="1:9" ht="16.5">
      <c r="A276" s="275">
        <v>212</v>
      </c>
      <c r="B276" s="18" t="s">
        <v>85</v>
      </c>
      <c r="C276" s="34" t="s">
        <v>274</v>
      </c>
      <c r="D276" s="98">
        <f t="shared" si="15"/>
        <v>413300</v>
      </c>
      <c r="E276" s="96">
        <f>gog!D527</f>
        <v>413300</v>
      </c>
      <c r="F276" s="100"/>
      <c r="G276" s="98">
        <f t="shared" si="16"/>
        <v>320137</v>
      </c>
      <c r="H276" s="96">
        <f>gog!G527</f>
        <v>320137</v>
      </c>
      <c r="I276" s="133"/>
    </row>
    <row r="277" spans="1:9" ht="16.5">
      <c r="A277" s="275">
        <v>213</v>
      </c>
      <c r="B277" s="18" t="s">
        <v>87</v>
      </c>
      <c r="C277" s="34" t="s">
        <v>275</v>
      </c>
      <c r="D277" s="98">
        <f t="shared" si="15"/>
        <v>33030.699999999997</v>
      </c>
      <c r="E277" s="96">
        <f>gog!D528</f>
        <v>33030.699999999997</v>
      </c>
      <c r="F277" s="100"/>
      <c r="G277" s="98">
        <f t="shared" si="16"/>
        <v>22562.36</v>
      </c>
      <c r="H277" s="96">
        <f>gog!G528</f>
        <v>22562.36</v>
      </c>
      <c r="I277" s="133"/>
    </row>
    <row r="278" spans="1:9" ht="16.5">
      <c r="A278" s="275">
        <v>214</v>
      </c>
      <c r="B278" s="18" t="s">
        <v>25</v>
      </c>
      <c r="C278" s="34" t="s">
        <v>276</v>
      </c>
      <c r="D278" s="98">
        <f t="shared" si="15"/>
        <v>0</v>
      </c>
      <c r="E278" s="96">
        <f>gog!D529</f>
        <v>0</v>
      </c>
      <c r="F278" s="100"/>
      <c r="G278" s="98">
        <f t="shared" si="16"/>
        <v>0</v>
      </c>
      <c r="H278" s="96">
        <f>gog!G529</f>
        <v>0</v>
      </c>
      <c r="I278" s="133"/>
    </row>
    <row r="279" spans="1:9" ht="16.5">
      <c r="A279" s="275">
        <v>215</v>
      </c>
      <c r="B279" s="18" t="s">
        <v>89</v>
      </c>
      <c r="C279" s="34" t="s">
        <v>277</v>
      </c>
      <c r="D279" s="98">
        <f t="shared" si="15"/>
        <v>240710.3</v>
      </c>
      <c r="E279" s="96">
        <f>gog!D532</f>
        <v>240710.3</v>
      </c>
      <c r="F279" s="100"/>
      <c r="G279" s="98">
        <f t="shared" si="16"/>
        <v>204873.28</v>
      </c>
      <c r="H279" s="96">
        <f>gog!G532</f>
        <v>204873.28</v>
      </c>
      <c r="I279" s="133"/>
    </row>
    <row r="280" spans="1:9" ht="16.5">
      <c r="A280" s="275">
        <v>216</v>
      </c>
      <c r="B280" s="18" t="s">
        <v>91</v>
      </c>
      <c r="C280" s="34" t="s">
        <v>278</v>
      </c>
      <c r="D280" s="98">
        <f t="shared" si="15"/>
        <v>1363933.74</v>
      </c>
      <c r="E280" s="96">
        <f>gog!D534</f>
        <v>1363933.74</v>
      </c>
      <c r="F280" s="100"/>
      <c r="G280" s="98">
        <f t="shared" si="16"/>
        <v>911525.19</v>
      </c>
      <c r="H280" s="96">
        <f>gog!G534</f>
        <v>911525.19</v>
      </c>
      <c r="I280" s="133"/>
    </row>
    <row r="281" spans="1:9" ht="16.5">
      <c r="A281" s="275">
        <v>217</v>
      </c>
      <c r="B281" s="18" t="s">
        <v>95</v>
      </c>
      <c r="C281" s="34" t="s">
        <v>279</v>
      </c>
      <c r="D281" s="98">
        <f t="shared" si="15"/>
        <v>13300</v>
      </c>
      <c r="E281" s="96">
        <f>gog!D537</f>
        <v>13300</v>
      </c>
      <c r="F281" s="100"/>
      <c r="G281" s="98">
        <f t="shared" si="16"/>
        <v>3180.86</v>
      </c>
      <c r="H281" s="96">
        <f>gog!G537</f>
        <v>3180.86</v>
      </c>
      <c r="I281" s="133"/>
    </row>
    <row r="282" spans="1:9" ht="16.5">
      <c r="A282" s="275">
        <v>218</v>
      </c>
      <c r="B282" s="18" t="s">
        <v>97</v>
      </c>
      <c r="C282" s="34" t="s">
        <v>280</v>
      </c>
      <c r="D282" s="98">
        <f t="shared" si="15"/>
        <v>241950</v>
      </c>
      <c r="E282" s="96">
        <f>gog!D539</f>
        <v>241950</v>
      </c>
      <c r="F282" s="100"/>
      <c r="G282" s="98">
        <f t="shared" si="16"/>
        <v>128820.17</v>
      </c>
      <c r="H282" s="96">
        <f>gog!G539</f>
        <v>128820.17</v>
      </c>
      <c r="I282" s="133"/>
    </row>
    <row r="283" spans="1:9" ht="17.25" thickBot="1">
      <c r="A283" s="295">
        <v>219</v>
      </c>
      <c r="B283" s="19" t="s">
        <v>100</v>
      </c>
      <c r="C283" s="36" t="s">
        <v>281</v>
      </c>
      <c r="D283" s="113">
        <f t="shared" si="15"/>
        <v>4668359.5999999996</v>
      </c>
      <c r="E283" s="121">
        <f>gog!D541</f>
        <v>4668359.5999999996</v>
      </c>
      <c r="F283" s="103"/>
      <c r="G283" s="113">
        <f t="shared" si="16"/>
        <v>4060621.29</v>
      </c>
      <c r="H283" s="121">
        <f>gog!G541</f>
        <v>4060621.29</v>
      </c>
      <c r="I283" s="134"/>
    </row>
    <row r="284" spans="1:9" ht="32.25" thickBot="1">
      <c r="A284" s="48"/>
      <c r="B284" s="509" t="s">
        <v>2299</v>
      </c>
      <c r="C284" s="181" t="s">
        <v>2232</v>
      </c>
      <c r="D284" s="150">
        <f>E284+F284</f>
        <v>0</v>
      </c>
      <c r="E284" s="117"/>
      <c r="F284" s="118"/>
      <c r="G284" s="150">
        <f>H284+I284</f>
        <v>0</v>
      </c>
      <c r="H284" s="117"/>
      <c r="I284" s="148"/>
    </row>
    <row r="285" spans="1:9" ht="16.5">
      <c r="A285" s="290"/>
      <c r="B285" s="17" t="s">
        <v>77</v>
      </c>
      <c r="C285" s="723" t="s">
        <v>1631</v>
      </c>
      <c r="D285" s="151">
        <f t="shared" ref="D285:D296" si="17">E285+F285</f>
        <v>0</v>
      </c>
      <c r="E285" s="96"/>
      <c r="F285" s="97"/>
      <c r="G285" s="151">
        <f t="shared" ref="G285:G296" si="18">H285+I285</f>
        <v>0</v>
      </c>
      <c r="H285" s="96"/>
      <c r="I285" s="97"/>
    </row>
    <row r="286" spans="1:9" ht="16.5">
      <c r="A286" s="275"/>
      <c r="B286" s="18" t="s">
        <v>79</v>
      </c>
      <c r="C286" s="723" t="s">
        <v>2233</v>
      </c>
      <c r="D286" s="98">
        <f t="shared" si="17"/>
        <v>0</v>
      </c>
      <c r="E286" s="99"/>
      <c r="F286" s="100"/>
      <c r="G286" s="98">
        <f t="shared" si="18"/>
        <v>0</v>
      </c>
      <c r="H286" s="99"/>
      <c r="I286" s="100"/>
    </row>
    <row r="287" spans="1:9" ht="16.5">
      <c r="A287" s="275"/>
      <c r="B287" s="18" t="s">
        <v>81</v>
      </c>
      <c r="C287" s="723" t="s">
        <v>2234</v>
      </c>
      <c r="D287" s="98">
        <f t="shared" si="17"/>
        <v>0</v>
      </c>
      <c r="E287" s="99"/>
      <c r="F287" s="100"/>
      <c r="G287" s="98">
        <f t="shared" si="18"/>
        <v>0</v>
      </c>
      <c r="H287" s="99"/>
      <c r="I287" s="100"/>
    </row>
    <row r="288" spans="1:9" ht="16.5">
      <c r="A288" s="275"/>
      <c r="B288" s="18" t="s">
        <v>83</v>
      </c>
      <c r="C288" s="723" t="s">
        <v>2235</v>
      </c>
      <c r="D288" s="98">
        <f t="shared" si="17"/>
        <v>0</v>
      </c>
      <c r="E288" s="99"/>
      <c r="F288" s="100"/>
      <c r="G288" s="98">
        <f t="shared" si="18"/>
        <v>0</v>
      </c>
      <c r="H288" s="99"/>
      <c r="I288" s="100"/>
    </row>
    <row r="289" spans="1:9" ht="16.5">
      <c r="A289" s="275"/>
      <c r="B289" s="18" t="s">
        <v>85</v>
      </c>
      <c r="C289" s="723" t="s">
        <v>2236</v>
      </c>
      <c r="D289" s="98">
        <f t="shared" si="17"/>
        <v>0</v>
      </c>
      <c r="E289" s="99"/>
      <c r="F289" s="100"/>
      <c r="G289" s="98">
        <f t="shared" si="18"/>
        <v>0</v>
      </c>
      <c r="H289" s="99"/>
      <c r="I289" s="100"/>
    </row>
    <row r="290" spans="1:9" ht="16.5">
      <c r="A290" s="275"/>
      <c r="B290" s="18" t="s">
        <v>87</v>
      </c>
      <c r="C290" s="723" t="s">
        <v>2237</v>
      </c>
      <c r="D290" s="98">
        <f t="shared" si="17"/>
        <v>0</v>
      </c>
      <c r="E290" s="99"/>
      <c r="F290" s="100"/>
      <c r="G290" s="98">
        <f t="shared" si="18"/>
        <v>0</v>
      </c>
      <c r="H290" s="99"/>
      <c r="I290" s="100"/>
    </row>
    <row r="291" spans="1:9" ht="16.5">
      <c r="A291" s="275"/>
      <c r="B291" s="18" t="s">
        <v>25</v>
      </c>
      <c r="C291" s="723" t="s">
        <v>2238</v>
      </c>
      <c r="D291" s="98">
        <f t="shared" si="17"/>
        <v>0</v>
      </c>
      <c r="E291" s="99"/>
      <c r="F291" s="100"/>
      <c r="G291" s="98">
        <f t="shared" si="18"/>
        <v>0</v>
      </c>
      <c r="H291" s="99"/>
      <c r="I291" s="100"/>
    </row>
    <row r="292" spans="1:9" ht="16.5">
      <c r="A292" s="275"/>
      <c r="B292" s="18" t="s">
        <v>89</v>
      </c>
      <c r="C292" s="723" t="s">
        <v>2239</v>
      </c>
      <c r="D292" s="98">
        <f t="shared" si="17"/>
        <v>0</v>
      </c>
      <c r="E292" s="99"/>
      <c r="F292" s="100"/>
      <c r="G292" s="98">
        <f t="shared" si="18"/>
        <v>0</v>
      </c>
      <c r="H292" s="99"/>
      <c r="I292" s="100"/>
    </row>
    <row r="293" spans="1:9" ht="16.5">
      <c r="A293" s="275"/>
      <c r="B293" s="18" t="s">
        <v>91</v>
      </c>
      <c r="C293" s="723" t="s">
        <v>2240</v>
      </c>
      <c r="D293" s="98">
        <f t="shared" si="17"/>
        <v>0</v>
      </c>
      <c r="E293" s="99"/>
      <c r="F293" s="100"/>
      <c r="G293" s="98">
        <f t="shared" si="18"/>
        <v>0</v>
      </c>
      <c r="H293" s="99"/>
      <c r="I293" s="100"/>
    </row>
    <row r="294" spans="1:9" ht="16.5">
      <c r="A294" s="275"/>
      <c r="B294" s="18" t="s">
        <v>95</v>
      </c>
      <c r="C294" s="723" t="s">
        <v>2241</v>
      </c>
      <c r="D294" s="98">
        <f t="shared" si="17"/>
        <v>0</v>
      </c>
      <c r="E294" s="99"/>
      <c r="F294" s="100"/>
      <c r="G294" s="98">
        <f t="shared" si="18"/>
        <v>0</v>
      </c>
      <c r="H294" s="99"/>
      <c r="I294" s="100"/>
    </row>
    <row r="295" spans="1:9" ht="16.5">
      <c r="A295" s="275"/>
      <c r="B295" s="18" t="s">
        <v>97</v>
      </c>
      <c r="C295" s="723" t="s">
        <v>2242</v>
      </c>
      <c r="D295" s="98">
        <f t="shared" si="17"/>
        <v>0</v>
      </c>
      <c r="E295" s="99"/>
      <c r="F295" s="100"/>
      <c r="G295" s="98">
        <f t="shared" si="18"/>
        <v>0</v>
      </c>
      <c r="H295" s="99"/>
      <c r="I295" s="100"/>
    </row>
    <row r="296" spans="1:9" ht="17.25" thickBot="1">
      <c r="A296" s="275"/>
      <c r="B296" s="19" t="s">
        <v>100</v>
      </c>
      <c r="C296" s="49" t="s">
        <v>2243</v>
      </c>
      <c r="D296" s="149">
        <f t="shared" si="17"/>
        <v>0</v>
      </c>
      <c r="E296" s="102"/>
      <c r="F296" s="103"/>
      <c r="G296" s="149">
        <f t="shared" si="18"/>
        <v>0</v>
      </c>
      <c r="H296" s="102"/>
      <c r="I296" s="103"/>
    </row>
    <row r="297" spans="1:9" ht="32.25" thickBot="1">
      <c r="A297" s="371">
        <v>220</v>
      </c>
      <c r="B297" s="381" t="s">
        <v>2299</v>
      </c>
      <c r="C297" s="181" t="s">
        <v>2300</v>
      </c>
      <c r="D297" s="150">
        <f t="shared" si="15"/>
        <v>8656194.2199999988</v>
      </c>
      <c r="E297" s="105">
        <f>SUM(E298:E309)</f>
        <v>8656194.2199999988</v>
      </c>
      <c r="F297" s="106">
        <f>SUM(F298:F309)</f>
        <v>0</v>
      </c>
      <c r="G297" s="150">
        <f t="shared" si="16"/>
        <v>7539140.080000001</v>
      </c>
      <c r="H297" s="107">
        <f>SUM(H298:H309)</f>
        <v>7539140.080000001</v>
      </c>
      <c r="I297" s="128">
        <f>SUM(I298:I309)</f>
        <v>0</v>
      </c>
    </row>
    <row r="298" spans="1:9" ht="16.5">
      <c r="A298" s="275">
        <v>221</v>
      </c>
      <c r="B298" s="17" t="s">
        <v>77</v>
      </c>
      <c r="C298" s="34" t="s">
        <v>1780</v>
      </c>
      <c r="D298" s="113">
        <f t="shared" si="15"/>
        <v>1160952</v>
      </c>
      <c r="E298" s="96">
        <f>gog!D561</f>
        <v>1160952</v>
      </c>
      <c r="F298" s="97"/>
      <c r="G298" s="113">
        <f t="shared" si="16"/>
        <v>1074450.1399999999</v>
      </c>
      <c r="H298" s="109">
        <f>gog!G561</f>
        <v>1074450.1399999999</v>
      </c>
      <c r="I298" s="132"/>
    </row>
    <row r="299" spans="1:9" ht="16.5">
      <c r="A299" s="275">
        <v>222</v>
      </c>
      <c r="B299" s="18" t="s">
        <v>79</v>
      </c>
      <c r="C299" s="34" t="s">
        <v>1781</v>
      </c>
      <c r="D299" s="98">
        <f t="shared" si="15"/>
        <v>1302226.6299999999</v>
      </c>
      <c r="E299" s="96">
        <f>gog!D562</f>
        <v>1302226.6299999999</v>
      </c>
      <c r="F299" s="100"/>
      <c r="G299" s="98">
        <f t="shared" si="16"/>
        <v>1124976.52</v>
      </c>
      <c r="H299" s="109">
        <f>gog!G562</f>
        <v>1124976.52</v>
      </c>
      <c r="I299" s="133"/>
    </row>
    <row r="300" spans="1:9" ht="16.5">
      <c r="A300" s="275">
        <v>223</v>
      </c>
      <c r="B300" s="18" t="s">
        <v>81</v>
      </c>
      <c r="C300" s="34" t="s">
        <v>1782</v>
      </c>
      <c r="D300" s="98">
        <f t="shared" si="15"/>
        <v>351197.22</v>
      </c>
      <c r="E300" s="96">
        <f>gog!D563</f>
        <v>351197.22</v>
      </c>
      <c r="F300" s="100"/>
      <c r="G300" s="98">
        <f t="shared" si="16"/>
        <v>286680.08</v>
      </c>
      <c r="H300" s="109">
        <f>gog!G563</f>
        <v>286680.08</v>
      </c>
      <c r="I300" s="133"/>
    </row>
    <row r="301" spans="1:9" ht="16.5">
      <c r="A301" s="275">
        <v>224</v>
      </c>
      <c r="B301" s="18" t="s">
        <v>83</v>
      </c>
      <c r="C301" s="34" t="s">
        <v>1784</v>
      </c>
      <c r="D301" s="98">
        <f t="shared" si="15"/>
        <v>106229.75</v>
      </c>
      <c r="E301" s="96">
        <f>gog!D564</f>
        <v>106229.75</v>
      </c>
      <c r="F301" s="100"/>
      <c r="G301" s="98">
        <f t="shared" si="16"/>
        <v>34439.1</v>
      </c>
      <c r="H301" s="109">
        <f>gog!G564</f>
        <v>34439.1</v>
      </c>
      <c r="I301" s="133"/>
    </row>
    <row r="302" spans="1:9" ht="16.5">
      <c r="A302" s="275">
        <v>225</v>
      </c>
      <c r="B302" s="18" t="s">
        <v>85</v>
      </c>
      <c r="C302" s="34" t="s">
        <v>1785</v>
      </c>
      <c r="D302" s="98">
        <f t="shared" si="15"/>
        <v>1174464.1000000001</v>
      </c>
      <c r="E302" s="96">
        <f>gog!D566</f>
        <v>1174464.1000000001</v>
      </c>
      <c r="F302" s="100"/>
      <c r="G302" s="98">
        <f t="shared" si="16"/>
        <v>1046569.05</v>
      </c>
      <c r="H302" s="109">
        <f>gog!G566</f>
        <v>1046569.05</v>
      </c>
      <c r="I302" s="133"/>
    </row>
    <row r="303" spans="1:9" ht="16.5">
      <c r="A303" s="275">
        <v>226</v>
      </c>
      <c r="B303" s="18" t="s">
        <v>87</v>
      </c>
      <c r="C303" s="34" t="s">
        <v>1786</v>
      </c>
      <c r="D303" s="98">
        <f t="shared" si="15"/>
        <v>122264</v>
      </c>
      <c r="E303" s="96">
        <f>gog!D567</f>
        <v>122264</v>
      </c>
      <c r="F303" s="100"/>
      <c r="G303" s="98">
        <f t="shared" si="16"/>
        <v>121024.44</v>
      </c>
      <c r="H303" s="109">
        <f>gog!G567</f>
        <v>121024.44</v>
      </c>
      <c r="I303" s="133"/>
    </row>
    <row r="304" spans="1:9" ht="16.5">
      <c r="A304" s="275">
        <v>227</v>
      </c>
      <c r="B304" s="18" t="s">
        <v>25</v>
      </c>
      <c r="C304" s="34" t="s">
        <v>1787</v>
      </c>
      <c r="D304" s="98">
        <f t="shared" si="15"/>
        <v>0</v>
      </c>
      <c r="E304" s="96">
        <f>gog!D568</f>
        <v>0</v>
      </c>
      <c r="F304" s="100"/>
      <c r="G304" s="98">
        <f t="shared" si="16"/>
        <v>0</v>
      </c>
      <c r="H304" s="109">
        <f>gog!G568</f>
        <v>0</v>
      </c>
      <c r="I304" s="133"/>
    </row>
    <row r="305" spans="1:9" ht="16.5">
      <c r="A305" s="275">
        <v>228</v>
      </c>
      <c r="B305" s="18" t="s">
        <v>89</v>
      </c>
      <c r="C305" s="34" t="s">
        <v>1788</v>
      </c>
      <c r="D305" s="98">
        <f t="shared" si="15"/>
        <v>299658.86</v>
      </c>
      <c r="E305" s="96">
        <f>gog!D570</f>
        <v>299658.86</v>
      </c>
      <c r="F305" s="100"/>
      <c r="G305" s="98">
        <f t="shared" si="16"/>
        <v>244613.27</v>
      </c>
      <c r="H305" s="109">
        <f>gog!G570</f>
        <v>244613.27</v>
      </c>
      <c r="I305" s="133"/>
    </row>
    <row r="306" spans="1:9" ht="16.5">
      <c r="A306" s="275">
        <v>229</v>
      </c>
      <c r="B306" s="18" t="s">
        <v>91</v>
      </c>
      <c r="C306" s="34" t="s">
        <v>1789</v>
      </c>
      <c r="D306" s="98">
        <f t="shared" si="15"/>
        <v>1081608.8999999999</v>
      </c>
      <c r="E306" s="96">
        <f>gog!D572</f>
        <v>1081608.8999999999</v>
      </c>
      <c r="F306" s="100"/>
      <c r="G306" s="98">
        <f t="shared" si="16"/>
        <v>937601.57</v>
      </c>
      <c r="H306" s="109">
        <f>gog!G572</f>
        <v>937601.57</v>
      </c>
      <c r="I306" s="133"/>
    </row>
    <row r="307" spans="1:9" ht="16.5">
      <c r="A307" s="275">
        <v>230</v>
      </c>
      <c r="B307" s="18" t="s">
        <v>95</v>
      </c>
      <c r="C307" s="34" t="s">
        <v>1790</v>
      </c>
      <c r="D307" s="98">
        <f t="shared" si="15"/>
        <v>106400</v>
      </c>
      <c r="E307" s="96">
        <f>gog!D573</f>
        <v>106400</v>
      </c>
      <c r="F307" s="100"/>
      <c r="G307" s="98">
        <f t="shared" si="16"/>
        <v>57300</v>
      </c>
      <c r="H307" s="109">
        <f>gog!G573</f>
        <v>57300</v>
      </c>
      <c r="I307" s="133"/>
    </row>
    <row r="308" spans="1:9" ht="16.5">
      <c r="A308" s="275">
        <v>231</v>
      </c>
      <c r="B308" s="18" t="s">
        <v>97</v>
      </c>
      <c r="C308" s="34" t="s">
        <v>1791</v>
      </c>
      <c r="D308" s="98">
        <f t="shared" si="15"/>
        <v>446027.84</v>
      </c>
      <c r="E308" s="96">
        <f>gog!D578</f>
        <v>446027.84</v>
      </c>
      <c r="F308" s="100"/>
      <c r="G308" s="98">
        <f t="shared" si="16"/>
        <v>287187.46000000002</v>
      </c>
      <c r="H308" s="109">
        <f>gog!G578</f>
        <v>287187.46000000002</v>
      </c>
      <c r="I308" s="133"/>
    </row>
    <row r="309" spans="1:9" ht="17.25" thickBot="1">
      <c r="A309" s="275">
        <v>232</v>
      </c>
      <c r="B309" s="19" t="s">
        <v>100</v>
      </c>
      <c r="C309" s="36" t="s">
        <v>1792</v>
      </c>
      <c r="D309" s="113">
        <f t="shared" si="15"/>
        <v>2505164.92</v>
      </c>
      <c r="E309" s="96">
        <f>gog!D580</f>
        <v>2505164.92</v>
      </c>
      <c r="F309" s="103"/>
      <c r="G309" s="113">
        <f t="shared" si="16"/>
        <v>2324298.4500000002</v>
      </c>
      <c r="H309" s="109">
        <f>gog!G580</f>
        <v>2324298.4500000002</v>
      </c>
      <c r="I309" s="134"/>
    </row>
    <row r="310" spans="1:9" ht="17.25" thickBot="1">
      <c r="A310" s="371"/>
      <c r="B310" s="381" t="s">
        <v>1793</v>
      </c>
      <c r="C310" s="500" t="s">
        <v>1794</v>
      </c>
      <c r="D310" s="104">
        <f>E310+F310</f>
        <v>23581022.190000005</v>
      </c>
      <c r="E310" s="105">
        <f>SUM(E311:E322)</f>
        <v>23581022.190000005</v>
      </c>
      <c r="F310" s="106">
        <f>SUM(F311:F322)</f>
        <v>0</v>
      </c>
      <c r="G310" s="104">
        <f>H310+I310</f>
        <v>23107284.740000006</v>
      </c>
      <c r="H310" s="107">
        <f>SUM(H311:H322)</f>
        <v>23107284.740000006</v>
      </c>
      <c r="I310" s="168">
        <f>SUM(I311:I322)</f>
        <v>0</v>
      </c>
    </row>
    <row r="311" spans="1:9" ht="16.5">
      <c r="A311" s="275"/>
      <c r="B311" s="17" t="s">
        <v>77</v>
      </c>
      <c r="C311" s="34" t="s">
        <v>1795</v>
      </c>
      <c r="D311" s="151">
        <f>E311+F311</f>
        <v>16889048.690000001</v>
      </c>
      <c r="E311" s="96">
        <f>gog!D582</f>
        <v>16889048.690000001</v>
      </c>
      <c r="F311" s="97"/>
      <c r="G311" s="151">
        <f>H311+I311</f>
        <v>16707201.49</v>
      </c>
      <c r="H311" s="96">
        <f>gog!G582</f>
        <v>16707201.49</v>
      </c>
      <c r="I311" s="97"/>
    </row>
    <row r="312" spans="1:9" ht="16.5">
      <c r="A312" s="275"/>
      <c r="B312" s="18" t="s">
        <v>79</v>
      </c>
      <c r="C312" s="34" t="s">
        <v>1796</v>
      </c>
      <c r="D312" s="98">
        <f>E312+F312</f>
        <v>442016.71</v>
      </c>
      <c r="E312" s="96">
        <f>gog!D583</f>
        <v>442016.71</v>
      </c>
      <c r="F312" s="100"/>
      <c r="G312" s="98">
        <f>H312+I312</f>
        <v>406085.5</v>
      </c>
      <c r="H312" s="96">
        <f>gog!G583</f>
        <v>406085.5</v>
      </c>
      <c r="I312" s="100"/>
    </row>
    <row r="313" spans="1:9" ht="16.5">
      <c r="A313" s="275"/>
      <c r="B313" s="18" t="s">
        <v>81</v>
      </c>
      <c r="C313" s="34" t="s">
        <v>1797</v>
      </c>
      <c r="D313" s="98">
        <f t="shared" ref="D313:D325" si="19">E313+F313</f>
        <v>4765779.83</v>
      </c>
      <c r="E313" s="96">
        <f>gog!D584</f>
        <v>4765779.83</v>
      </c>
      <c r="F313" s="100"/>
      <c r="G313" s="98">
        <f t="shared" ref="G313:G325" si="20">H313+I313</f>
        <v>4672300.96</v>
      </c>
      <c r="H313" s="96">
        <f>gog!G584</f>
        <v>4672300.96</v>
      </c>
      <c r="I313" s="100"/>
    </row>
    <row r="314" spans="1:9" ht="16.5">
      <c r="A314" s="275"/>
      <c r="B314" s="18" t="s">
        <v>83</v>
      </c>
      <c r="C314" s="34" t="s">
        <v>1798</v>
      </c>
      <c r="D314" s="98">
        <f t="shared" si="19"/>
        <v>126092</v>
      </c>
      <c r="E314" s="96">
        <f>gog!D585</f>
        <v>126092</v>
      </c>
      <c r="F314" s="100"/>
      <c r="G314" s="98">
        <f t="shared" si="20"/>
        <v>105315.2</v>
      </c>
      <c r="H314" s="96">
        <f>gog!G585</f>
        <v>105315.2</v>
      </c>
      <c r="I314" s="100"/>
    </row>
    <row r="315" spans="1:9" ht="16.5">
      <c r="A315" s="275"/>
      <c r="B315" s="18" t="s">
        <v>85</v>
      </c>
      <c r="C315" s="34" t="s">
        <v>1799</v>
      </c>
      <c r="D315" s="98">
        <f t="shared" si="19"/>
        <v>343592</v>
      </c>
      <c r="E315" s="96">
        <f>gog!D587</f>
        <v>343592</v>
      </c>
      <c r="F315" s="100"/>
      <c r="G315" s="98">
        <f t="shared" si="20"/>
        <v>307580.09999999998</v>
      </c>
      <c r="H315" s="96">
        <f>gog!G587</f>
        <v>307580.09999999998</v>
      </c>
      <c r="I315" s="100"/>
    </row>
    <row r="316" spans="1:9" ht="16.5">
      <c r="A316" s="275"/>
      <c r="B316" s="18" t="s">
        <v>87</v>
      </c>
      <c r="C316" s="34" t="s">
        <v>1800</v>
      </c>
      <c r="D316" s="98">
        <f t="shared" si="19"/>
        <v>6697</v>
      </c>
      <c r="E316" s="96">
        <f>gog!D588</f>
        <v>6697</v>
      </c>
      <c r="F316" s="100"/>
      <c r="G316" s="98">
        <f t="shared" si="20"/>
        <v>6696.6</v>
      </c>
      <c r="H316" s="96">
        <f>gog!G588</f>
        <v>6696.6</v>
      </c>
      <c r="I316" s="100"/>
    </row>
    <row r="317" spans="1:9" ht="16.5">
      <c r="A317" s="275"/>
      <c r="B317" s="18" t="s">
        <v>25</v>
      </c>
      <c r="C317" s="34" t="s">
        <v>1801</v>
      </c>
      <c r="D317" s="98">
        <f t="shared" si="19"/>
        <v>0</v>
      </c>
      <c r="E317" s="96">
        <f>gog!D589</f>
        <v>0</v>
      </c>
      <c r="F317" s="100"/>
      <c r="G317" s="98">
        <f t="shared" si="20"/>
        <v>0</v>
      </c>
      <c r="H317" s="96">
        <f>gog!G589</f>
        <v>0</v>
      </c>
      <c r="I317" s="100"/>
    </row>
    <row r="318" spans="1:9" ht="16.5">
      <c r="A318" s="275"/>
      <c r="B318" s="18" t="s">
        <v>89</v>
      </c>
      <c r="C318" s="34" t="s">
        <v>1802</v>
      </c>
      <c r="D318" s="98">
        <f t="shared" si="19"/>
        <v>17469.86</v>
      </c>
      <c r="E318" s="96">
        <f>gog!D591</f>
        <v>17469.86</v>
      </c>
      <c r="F318" s="100"/>
      <c r="G318" s="98">
        <f t="shared" si="20"/>
        <v>15509.86</v>
      </c>
      <c r="H318" s="96">
        <f>gog!G591</f>
        <v>15509.86</v>
      </c>
      <c r="I318" s="100"/>
    </row>
    <row r="319" spans="1:9" ht="16.5">
      <c r="A319" s="275"/>
      <c r="B319" s="18" t="s">
        <v>91</v>
      </c>
      <c r="C319" s="34" t="s">
        <v>1803</v>
      </c>
      <c r="D319" s="98">
        <f t="shared" si="19"/>
        <v>541028.5</v>
      </c>
      <c r="E319" s="96">
        <f>gog!D593</f>
        <v>541028.5</v>
      </c>
      <c r="F319" s="100"/>
      <c r="G319" s="98">
        <f t="shared" si="20"/>
        <v>536968.93000000005</v>
      </c>
      <c r="H319" s="96">
        <f>gog!G593</f>
        <v>536968.93000000005</v>
      </c>
      <c r="I319" s="100"/>
    </row>
    <row r="320" spans="1:9" ht="16.5">
      <c r="A320" s="275"/>
      <c r="B320" s="18" t="s">
        <v>95</v>
      </c>
      <c r="C320" s="34" t="s">
        <v>1804</v>
      </c>
      <c r="D320" s="98">
        <f t="shared" si="19"/>
        <v>27116.6</v>
      </c>
      <c r="E320" s="96">
        <f>gog!D594</f>
        <v>27116.6</v>
      </c>
      <c r="F320" s="100"/>
      <c r="G320" s="98">
        <f t="shared" si="20"/>
        <v>23000</v>
      </c>
      <c r="H320" s="96">
        <f>gog!G594</f>
        <v>23000</v>
      </c>
      <c r="I320" s="100"/>
    </row>
    <row r="321" spans="1:9" ht="16.5">
      <c r="A321" s="275"/>
      <c r="B321" s="18" t="s">
        <v>97</v>
      </c>
      <c r="C321" s="34" t="s">
        <v>1805</v>
      </c>
      <c r="D321" s="98">
        <f t="shared" si="19"/>
        <v>265814</v>
      </c>
      <c r="E321" s="96">
        <f>gog!D598</f>
        <v>265814</v>
      </c>
      <c r="F321" s="100"/>
      <c r="G321" s="98">
        <f t="shared" si="20"/>
        <v>200494</v>
      </c>
      <c r="H321" s="96">
        <f>gog!G598</f>
        <v>200494</v>
      </c>
      <c r="I321" s="100"/>
    </row>
    <row r="322" spans="1:9" ht="17.25" thickBot="1">
      <c r="A322" s="275"/>
      <c r="B322" s="19" t="s">
        <v>100</v>
      </c>
      <c r="C322" s="36" t="s">
        <v>1806</v>
      </c>
      <c r="D322" s="149">
        <f t="shared" si="19"/>
        <v>156367</v>
      </c>
      <c r="E322" s="96">
        <f>gog!D600</f>
        <v>156367</v>
      </c>
      <c r="F322" s="103"/>
      <c r="G322" s="149">
        <f t="shared" si="20"/>
        <v>126132.1</v>
      </c>
      <c r="H322" s="96">
        <f>gog!G600</f>
        <v>126132.1</v>
      </c>
      <c r="I322" s="103"/>
    </row>
    <row r="323" spans="1:9" ht="48" thickBot="1">
      <c r="A323" s="371"/>
      <c r="B323" s="493" t="s">
        <v>31</v>
      </c>
      <c r="C323" s="494" t="s">
        <v>1807</v>
      </c>
      <c r="D323" s="150" t="e">
        <f t="shared" si="19"/>
        <v>#REF!</v>
      </c>
      <c r="E323" s="105" t="e">
        <f>SUM(E324:E325)</f>
        <v>#REF!</v>
      </c>
      <c r="F323" s="106">
        <f>SUM(F324:F325)</f>
        <v>0</v>
      </c>
      <c r="G323" s="150" t="e">
        <f t="shared" si="20"/>
        <v>#REF!</v>
      </c>
      <c r="H323" s="107" t="e">
        <f>SUM(H324:H325)</f>
        <v>#REF!</v>
      </c>
      <c r="I323" s="128">
        <f>SUM(I324:I325)</f>
        <v>0</v>
      </c>
    </row>
    <row r="324" spans="1:9" ht="16.5">
      <c r="A324" s="371"/>
      <c r="B324" s="17" t="s">
        <v>77</v>
      </c>
      <c r="C324" s="34" t="s">
        <v>1808</v>
      </c>
      <c r="D324" s="151">
        <f t="shared" si="19"/>
        <v>7800</v>
      </c>
      <c r="E324" s="96">
        <f>gog!D605</f>
        <v>7800</v>
      </c>
      <c r="F324" s="97"/>
      <c r="G324" s="151">
        <f t="shared" si="20"/>
        <v>0</v>
      </c>
      <c r="H324" s="96">
        <f>gog!G605</f>
        <v>0</v>
      </c>
      <c r="I324" s="152"/>
    </row>
    <row r="325" spans="1:9" ht="17.25" thickBot="1">
      <c r="A325" s="371"/>
      <c r="B325" s="18" t="s">
        <v>81</v>
      </c>
      <c r="C325" s="41" t="s">
        <v>1809</v>
      </c>
      <c r="D325" s="98" t="e">
        <f t="shared" si="19"/>
        <v>#REF!</v>
      </c>
      <c r="E325" s="96" t="e">
        <f>gog!#REF!</f>
        <v>#REF!</v>
      </c>
      <c r="F325" s="114"/>
      <c r="G325" s="98" t="e">
        <f t="shared" si="20"/>
        <v>#REF!</v>
      </c>
      <c r="H325" s="96" t="e">
        <f>gog!#REF!</f>
        <v>#REF!</v>
      </c>
      <c r="I325" s="370"/>
    </row>
    <row r="326" spans="1:9" ht="32.25" thickBot="1">
      <c r="A326" s="371">
        <v>233</v>
      </c>
      <c r="B326" s="381" t="s">
        <v>166</v>
      </c>
      <c r="C326" s="500" t="s">
        <v>1810</v>
      </c>
      <c r="D326" s="104">
        <f t="shared" si="15"/>
        <v>68704.899999999994</v>
      </c>
      <c r="E326" s="105">
        <f>E327+E328</f>
        <v>68704.899999999994</v>
      </c>
      <c r="F326" s="106">
        <f>SUM(F327:F328)</f>
        <v>0</v>
      </c>
      <c r="G326" s="104">
        <f t="shared" si="16"/>
        <v>59262.9</v>
      </c>
      <c r="H326" s="107">
        <f>SUM(H327:H328)</f>
        <v>59262.9</v>
      </c>
      <c r="I326" s="128">
        <f>SUM(I327:I328)</f>
        <v>0</v>
      </c>
    </row>
    <row r="327" spans="1:9" ht="16.5">
      <c r="A327" s="275">
        <v>234</v>
      </c>
      <c r="B327" s="278" t="s">
        <v>91</v>
      </c>
      <c r="C327" s="36" t="s">
        <v>1811</v>
      </c>
      <c r="D327" s="161">
        <f t="shared" si="15"/>
        <v>40262.9</v>
      </c>
      <c r="E327" s="121">
        <f>gog!D620</f>
        <v>40262.9</v>
      </c>
      <c r="F327" s="114"/>
      <c r="G327" s="161">
        <f t="shared" si="16"/>
        <v>40262.9</v>
      </c>
      <c r="H327" s="121">
        <f>gog!G620</f>
        <v>40262.9</v>
      </c>
      <c r="I327" s="114"/>
    </row>
    <row r="328" spans="1:9" ht="17.25" thickBot="1">
      <c r="A328" s="275">
        <v>235</v>
      </c>
      <c r="B328" s="19" t="s">
        <v>100</v>
      </c>
      <c r="C328" s="32" t="s">
        <v>1812</v>
      </c>
      <c r="D328" s="113">
        <f t="shared" si="15"/>
        <v>28442</v>
      </c>
      <c r="E328" s="102">
        <f>gog!D624</f>
        <v>28442</v>
      </c>
      <c r="F328" s="103"/>
      <c r="G328" s="113">
        <f t="shared" si="16"/>
        <v>19000</v>
      </c>
      <c r="H328" s="102">
        <f>gog!G624</f>
        <v>19000</v>
      </c>
      <c r="I328" s="162"/>
    </row>
    <row r="329" spans="1:9" ht="17.25" thickBot="1">
      <c r="A329" s="371"/>
      <c r="B329" s="381" t="s">
        <v>282</v>
      </c>
      <c r="C329" s="494" t="s">
        <v>283</v>
      </c>
      <c r="D329" s="150">
        <f t="shared" si="15"/>
        <v>3416517.94</v>
      </c>
      <c r="E329" s="105">
        <f>SUM(E330:E341)</f>
        <v>3416517.94</v>
      </c>
      <c r="F329" s="106">
        <f>SUM(F330:F341)</f>
        <v>0</v>
      </c>
      <c r="G329" s="150">
        <f t="shared" si="16"/>
        <v>3285088.89</v>
      </c>
      <c r="H329" s="107">
        <f>SUM(H330:H341)</f>
        <v>3285088.89</v>
      </c>
      <c r="I329" s="128">
        <f>SUM(I330:I341)</f>
        <v>0</v>
      </c>
    </row>
    <row r="330" spans="1:9" ht="16.5">
      <c r="A330" s="275"/>
      <c r="B330" s="17" t="s">
        <v>77</v>
      </c>
      <c r="C330" s="34" t="s">
        <v>284</v>
      </c>
      <c r="D330" s="151">
        <f t="shared" si="15"/>
        <v>2034800</v>
      </c>
      <c r="E330" s="96">
        <f>gog!D634</f>
        <v>2034800</v>
      </c>
      <c r="F330" s="97"/>
      <c r="G330" s="151">
        <f t="shared" si="16"/>
        <v>2034800</v>
      </c>
      <c r="H330" s="96">
        <f>gog!G634</f>
        <v>2034800</v>
      </c>
      <c r="I330" s="97"/>
    </row>
    <row r="331" spans="1:9" ht="16.5">
      <c r="A331" s="275"/>
      <c r="B331" s="18" t="s">
        <v>79</v>
      </c>
      <c r="C331" s="31" t="s">
        <v>285</v>
      </c>
      <c r="D331" s="151">
        <f t="shared" si="15"/>
        <v>88300</v>
      </c>
      <c r="E331" s="96">
        <f>gog!D635</f>
        <v>88300</v>
      </c>
      <c r="F331" s="100"/>
      <c r="G331" s="151">
        <f t="shared" si="16"/>
        <v>71059.42</v>
      </c>
      <c r="H331" s="96">
        <f>gog!G635</f>
        <v>71059.42</v>
      </c>
      <c r="I331" s="100"/>
    </row>
    <row r="332" spans="1:9" ht="16.5">
      <c r="A332" s="275"/>
      <c r="B332" s="18" t="s">
        <v>81</v>
      </c>
      <c r="C332" s="31" t="s">
        <v>286</v>
      </c>
      <c r="D332" s="151">
        <f t="shared" si="15"/>
        <v>550700</v>
      </c>
      <c r="E332" s="96">
        <f>gog!D636</f>
        <v>550700</v>
      </c>
      <c r="F332" s="100"/>
      <c r="G332" s="151">
        <f t="shared" si="16"/>
        <v>546756.21</v>
      </c>
      <c r="H332" s="96">
        <f>gog!G636</f>
        <v>546756.21</v>
      </c>
      <c r="I332" s="100"/>
    </row>
    <row r="333" spans="1:9" ht="16.5">
      <c r="A333" s="275"/>
      <c r="B333" s="18" t="s">
        <v>83</v>
      </c>
      <c r="C333" s="31" t="s">
        <v>287</v>
      </c>
      <c r="D333" s="151">
        <f t="shared" si="15"/>
        <v>199400</v>
      </c>
      <c r="E333" s="96">
        <f>gog!D637</f>
        <v>199400</v>
      </c>
      <c r="F333" s="100"/>
      <c r="G333" s="151">
        <f t="shared" si="16"/>
        <v>176979.77</v>
      </c>
      <c r="H333" s="96">
        <f>gog!G637</f>
        <v>176979.77</v>
      </c>
      <c r="I333" s="100"/>
    </row>
    <row r="334" spans="1:9" ht="16.5">
      <c r="A334" s="275"/>
      <c r="B334" s="18" t="s">
        <v>85</v>
      </c>
      <c r="C334" s="31" t="s">
        <v>288</v>
      </c>
      <c r="D334" s="151">
        <f t="shared" si="15"/>
        <v>179300</v>
      </c>
      <c r="E334" s="96">
        <f>gog!D639</f>
        <v>179300</v>
      </c>
      <c r="F334" s="100"/>
      <c r="G334" s="151">
        <f t="shared" si="16"/>
        <v>169025.5</v>
      </c>
      <c r="H334" s="96">
        <f>gog!G639</f>
        <v>169025.5</v>
      </c>
      <c r="I334" s="100"/>
    </row>
    <row r="335" spans="1:9" ht="16.5">
      <c r="A335" s="275"/>
      <c r="B335" s="18" t="s">
        <v>87</v>
      </c>
      <c r="C335" s="31" t="s">
        <v>304</v>
      </c>
      <c r="D335" s="151">
        <f t="shared" si="15"/>
        <v>1361.27</v>
      </c>
      <c r="E335" s="96">
        <f>gog!D640</f>
        <v>1361.27</v>
      </c>
      <c r="F335" s="100"/>
      <c r="G335" s="151">
        <f t="shared" si="16"/>
        <v>1360.95</v>
      </c>
      <c r="H335" s="96">
        <f>gog!G640</f>
        <v>1360.95</v>
      </c>
      <c r="I335" s="100"/>
    </row>
    <row r="336" spans="1:9" ht="16.5">
      <c r="A336" s="275"/>
      <c r="B336" s="18" t="s">
        <v>766</v>
      </c>
      <c r="C336" s="31" t="s">
        <v>305</v>
      </c>
      <c r="D336" s="151">
        <f t="shared" si="15"/>
        <v>0</v>
      </c>
      <c r="E336" s="96">
        <f>gog!D641</f>
        <v>0</v>
      </c>
      <c r="F336" s="100"/>
      <c r="G336" s="151">
        <f t="shared" si="16"/>
        <v>0</v>
      </c>
      <c r="H336" s="96">
        <f>gog!G641</f>
        <v>0</v>
      </c>
      <c r="I336" s="100"/>
    </row>
    <row r="337" spans="1:9" ht="16.5">
      <c r="A337" s="275"/>
      <c r="B337" s="18" t="s">
        <v>89</v>
      </c>
      <c r="C337" s="31" t="s">
        <v>306</v>
      </c>
      <c r="D337" s="151">
        <f t="shared" si="15"/>
        <v>31456.67</v>
      </c>
      <c r="E337" s="96">
        <f>gog!D643</f>
        <v>31456.67</v>
      </c>
      <c r="F337" s="100"/>
      <c r="G337" s="151">
        <f t="shared" si="16"/>
        <v>31277.79</v>
      </c>
      <c r="H337" s="96">
        <f>gog!G643</f>
        <v>31277.79</v>
      </c>
      <c r="I337" s="100"/>
    </row>
    <row r="338" spans="1:9" ht="16.5">
      <c r="A338" s="275"/>
      <c r="B338" s="18" t="s">
        <v>91</v>
      </c>
      <c r="C338" s="31" t="s">
        <v>307</v>
      </c>
      <c r="D338" s="151">
        <f t="shared" si="15"/>
        <v>117000</v>
      </c>
      <c r="E338" s="96">
        <f>gog!D645</f>
        <v>117000</v>
      </c>
      <c r="F338" s="100"/>
      <c r="G338" s="151">
        <f t="shared" si="16"/>
        <v>95175</v>
      </c>
      <c r="H338" s="96">
        <f>gog!G645</f>
        <v>95175</v>
      </c>
      <c r="I338" s="100"/>
    </row>
    <row r="339" spans="1:9" ht="16.5">
      <c r="A339" s="275"/>
      <c r="B339" s="18" t="s">
        <v>95</v>
      </c>
      <c r="C339" s="31" t="s">
        <v>308</v>
      </c>
      <c r="D339" s="151">
        <f t="shared" si="15"/>
        <v>7000</v>
      </c>
      <c r="E339" s="96">
        <f>gog!D648</f>
        <v>7000</v>
      </c>
      <c r="F339" s="100"/>
      <c r="G339" s="151">
        <f t="shared" si="16"/>
        <v>5109.88</v>
      </c>
      <c r="H339" s="96">
        <f>gog!G648</f>
        <v>5109.88</v>
      </c>
      <c r="I339" s="100"/>
    </row>
    <row r="340" spans="1:9" ht="16.5">
      <c r="A340" s="275"/>
      <c r="B340" s="18" t="s">
        <v>97</v>
      </c>
      <c r="C340" s="31" t="s">
        <v>309</v>
      </c>
      <c r="D340" s="151">
        <f t="shared" si="15"/>
        <v>46700</v>
      </c>
      <c r="E340" s="96">
        <f>gog!D650</f>
        <v>46700</v>
      </c>
      <c r="F340" s="100"/>
      <c r="G340" s="151">
        <f t="shared" si="16"/>
        <v>10850</v>
      </c>
      <c r="H340" s="96">
        <f>gog!G650</f>
        <v>10850</v>
      </c>
      <c r="I340" s="100"/>
    </row>
    <row r="341" spans="1:9" ht="17.25" thickBot="1">
      <c r="A341" s="275"/>
      <c r="B341" s="19" t="s">
        <v>100</v>
      </c>
      <c r="C341" s="32" t="s">
        <v>310</v>
      </c>
      <c r="D341" s="369">
        <f t="shared" si="15"/>
        <v>160500</v>
      </c>
      <c r="E341" s="96">
        <f>gog!D652</f>
        <v>160500</v>
      </c>
      <c r="F341" s="103"/>
      <c r="G341" s="369">
        <f t="shared" si="16"/>
        <v>142694.37</v>
      </c>
      <c r="H341" s="96">
        <f>gog!G652</f>
        <v>142694.37</v>
      </c>
      <c r="I341" s="103"/>
    </row>
    <row r="342" spans="1:9" ht="63.75" thickBot="1">
      <c r="A342" s="275">
        <v>236</v>
      </c>
      <c r="B342" s="509" t="s">
        <v>311</v>
      </c>
      <c r="C342" s="500" t="s">
        <v>312</v>
      </c>
      <c r="D342" s="104">
        <f t="shared" si="15"/>
        <v>11211959.549999999</v>
      </c>
      <c r="E342" s="105">
        <f>SUM(E343:E354)</f>
        <v>11211959.549999999</v>
      </c>
      <c r="F342" s="106">
        <f>SUM(F343:F354)</f>
        <v>0</v>
      </c>
      <c r="G342" s="104">
        <f t="shared" si="16"/>
        <v>11064104.83</v>
      </c>
      <c r="H342" s="107">
        <f>SUM(H343:H354)</f>
        <v>11064104.83</v>
      </c>
      <c r="I342" s="128">
        <f>SUM(I343:I354)</f>
        <v>0</v>
      </c>
    </row>
    <row r="343" spans="1:9" ht="16.5">
      <c r="A343" s="275">
        <v>237</v>
      </c>
      <c r="B343" s="17" t="s">
        <v>77</v>
      </c>
      <c r="C343" s="34" t="s">
        <v>313</v>
      </c>
      <c r="D343" s="95">
        <f t="shared" si="15"/>
        <v>7983802</v>
      </c>
      <c r="E343" s="96">
        <f>gog!D654</f>
        <v>7983802</v>
      </c>
      <c r="F343" s="97"/>
      <c r="G343" s="95">
        <f t="shared" si="16"/>
        <v>7959622</v>
      </c>
      <c r="H343" s="96">
        <f>gog!G654</f>
        <v>7959622</v>
      </c>
      <c r="I343" s="132"/>
    </row>
    <row r="344" spans="1:9" ht="16.5">
      <c r="A344" s="275">
        <v>238</v>
      </c>
      <c r="B344" s="18" t="s">
        <v>79</v>
      </c>
      <c r="C344" s="31" t="s">
        <v>314</v>
      </c>
      <c r="D344" s="98">
        <f t="shared" si="15"/>
        <v>249853.83</v>
      </c>
      <c r="E344" s="96">
        <f>gog!D655</f>
        <v>249853.83</v>
      </c>
      <c r="F344" s="100"/>
      <c r="G344" s="98">
        <f t="shared" si="16"/>
        <v>236513.83</v>
      </c>
      <c r="H344" s="96">
        <f>gog!G655</f>
        <v>236513.83</v>
      </c>
      <c r="I344" s="133"/>
    </row>
    <row r="345" spans="1:9" ht="16.5">
      <c r="A345" s="275">
        <v>239</v>
      </c>
      <c r="B345" s="18" t="s">
        <v>81</v>
      </c>
      <c r="C345" s="31" t="s">
        <v>315</v>
      </c>
      <c r="D345" s="98">
        <f t="shared" si="15"/>
        <v>2337349</v>
      </c>
      <c r="E345" s="96">
        <f>gog!D656</f>
        <v>2337349</v>
      </c>
      <c r="F345" s="100"/>
      <c r="G345" s="98">
        <f t="shared" si="16"/>
        <v>2334682.66</v>
      </c>
      <c r="H345" s="96">
        <f>gog!G656</f>
        <v>2334682.66</v>
      </c>
      <c r="I345" s="133"/>
    </row>
    <row r="346" spans="1:9" ht="16.5">
      <c r="A346" s="275">
        <v>240</v>
      </c>
      <c r="B346" s="18" t="s">
        <v>83</v>
      </c>
      <c r="C346" s="31" t="s">
        <v>316</v>
      </c>
      <c r="D346" s="98">
        <f t="shared" si="15"/>
        <v>140000</v>
      </c>
      <c r="E346" s="96">
        <f>gog!D657</f>
        <v>140000</v>
      </c>
      <c r="F346" s="100"/>
      <c r="G346" s="98">
        <f t="shared" si="16"/>
        <v>127225.02</v>
      </c>
      <c r="H346" s="96">
        <f>gog!G657</f>
        <v>127225.02</v>
      </c>
      <c r="I346" s="133"/>
    </row>
    <row r="347" spans="1:9" ht="16.5">
      <c r="A347" s="275">
        <v>241</v>
      </c>
      <c r="B347" s="18" t="s">
        <v>85</v>
      </c>
      <c r="C347" s="31" t="s">
        <v>317</v>
      </c>
      <c r="D347" s="98">
        <f t="shared" si="15"/>
        <v>132053.70000000001</v>
      </c>
      <c r="E347" s="96">
        <f>gog!D660</f>
        <v>132053.70000000001</v>
      </c>
      <c r="F347" s="100"/>
      <c r="G347" s="98">
        <f t="shared" si="16"/>
        <v>108436.09</v>
      </c>
      <c r="H347" s="96">
        <f>gog!G660</f>
        <v>108436.09</v>
      </c>
      <c r="I347" s="133"/>
    </row>
    <row r="348" spans="1:9" ht="16.5">
      <c r="A348" s="275">
        <v>242</v>
      </c>
      <c r="B348" s="18" t="s">
        <v>87</v>
      </c>
      <c r="C348" s="31" t="s">
        <v>318</v>
      </c>
      <c r="D348" s="98">
        <f t="shared" si="15"/>
        <v>0</v>
      </c>
      <c r="E348" s="96">
        <f>gog!D661</f>
        <v>0</v>
      </c>
      <c r="F348" s="100"/>
      <c r="G348" s="98">
        <f t="shared" si="16"/>
        <v>0</v>
      </c>
      <c r="H348" s="96">
        <f>gog!G661</f>
        <v>0</v>
      </c>
      <c r="I348" s="133"/>
    </row>
    <row r="349" spans="1:9" ht="16.5">
      <c r="A349" s="275">
        <v>243</v>
      </c>
      <c r="B349" s="18" t="s">
        <v>766</v>
      </c>
      <c r="C349" s="31" t="s">
        <v>319</v>
      </c>
      <c r="D349" s="98">
        <f t="shared" si="15"/>
        <v>0</v>
      </c>
      <c r="E349" s="96">
        <f>gog!D662</f>
        <v>0</v>
      </c>
      <c r="F349" s="100"/>
      <c r="G349" s="98">
        <f t="shared" si="16"/>
        <v>0</v>
      </c>
      <c r="H349" s="96">
        <f>gog!G662</f>
        <v>0</v>
      </c>
      <c r="I349" s="133"/>
    </row>
    <row r="350" spans="1:9" ht="16.5">
      <c r="A350" s="275">
        <v>244</v>
      </c>
      <c r="B350" s="18" t="s">
        <v>89</v>
      </c>
      <c r="C350" s="31" t="s">
        <v>320</v>
      </c>
      <c r="D350" s="98">
        <f t="shared" si="15"/>
        <v>15932.36</v>
      </c>
      <c r="E350" s="96">
        <f>gog!D664</f>
        <v>15932.36</v>
      </c>
      <c r="F350" s="100"/>
      <c r="G350" s="98">
        <f t="shared" si="16"/>
        <v>8007.31</v>
      </c>
      <c r="H350" s="96">
        <f>gog!G664</f>
        <v>8007.31</v>
      </c>
      <c r="I350" s="133"/>
    </row>
    <row r="351" spans="1:9" ht="16.5">
      <c r="A351" s="275">
        <v>245</v>
      </c>
      <c r="B351" s="18" t="s">
        <v>91</v>
      </c>
      <c r="C351" s="31" t="s">
        <v>321</v>
      </c>
      <c r="D351" s="98">
        <f t="shared" si="15"/>
        <v>115130.81</v>
      </c>
      <c r="E351" s="96">
        <f>gog!D666</f>
        <v>115130.81</v>
      </c>
      <c r="F351" s="100"/>
      <c r="G351" s="98">
        <f t="shared" si="16"/>
        <v>94926.92</v>
      </c>
      <c r="H351" s="96">
        <f>gog!G666</f>
        <v>94926.92</v>
      </c>
      <c r="I351" s="133"/>
    </row>
    <row r="352" spans="1:9" ht="16.5">
      <c r="A352" s="275">
        <v>246</v>
      </c>
      <c r="B352" s="18" t="s">
        <v>95</v>
      </c>
      <c r="C352" s="31" t="s">
        <v>322</v>
      </c>
      <c r="D352" s="98">
        <f t="shared" si="15"/>
        <v>46550</v>
      </c>
      <c r="E352" s="96">
        <f>gog!D667</f>
        <v>46550</v>
      </c>
      <c r="F352" s="100"/>
      <c r="G352" s="98">
        <f t="shared" si="16"/>
        <v>39900</v>
      </c>
      <c r="H352" s="96">
        <f>gog!G667</f>
        <v>39900</v>
      </c>
      <c r="I352" s="133"/>
    </row>
    <row r="353" spans="1:9" ht="16.5">
      <c r="A353" s="275">
        <v>247</v>
      </c>
      <c r="B353" s="18" t="s">
        <v>97</v>
      </c>
      <c r="C353" s="31" t="s">
        <v>323</v>
      </c>
      <c r="D353" s="98">
        <f t="shared" si="15"/>
        <v>75090</v>
      </c>
      <c r="E353" s="96">
        <f>gog!D670</f>
        <v>75090</v>
      </c>
      <c r="F353" s="100"/>
      <c r="G353" s="98">
        <f t="shared" si="16"/>
        <v>75090</v>
      </c>
      <c r="H353" s="96">
        <f>gog!G670</f>
        <v>75090</v>
      </c>
      <c r="I353" s="100"/>
    </row>
    <row r="354" spans="1:9" ht="17.25" thickBot="1">
      <c r="A354" s="295">
        <v>248</v>
      </c>
      <c r="B354" s="19" t="s">
        <v>100</v>
      </c>
      <c r="C354" s="32" t="s">
        <v>324</v>
      </c>
      <c r="D354" s="113">
        <f t="shared" si="15"/>
        <v>116197.85</v>
      </c>
      <c r="E354" s="96">
        <f>gog!D672</f>
        <v>116197.85</v>
      </c>
      <c r="F354" s="103"/>
      <c r="G354" s="113">
        <f t="shared" si="16"/>
        <v>79701</v>
      </c>
      <c r="H354" s="96">
        <f>gog!G672</f>
        <v>79701</v>
      </c>
      <c r="I354" s="103"/>
    </row>
    <row r="355" spans="1:9" ht="32.25" thickBot="1">
      <c r="A355" s="422"/>
      <c r="B355" s="493" t="s">
        <v>619</v>
      </c>
      <c r="C355" s="428" t="s">
        <v>620</v>
      </c>
      <c r="D355" s="150" t="e">
        <f t="shared" si="15"/>
        <v>#REF!</v>
      </c>
      <c r="E355" s="105" t="e">
        <f>SUM(E356:E358)</f>
        <v>#REF!</v>
      </c>
      <c r="F355" s="106">
        <f>SUM(F356:F358)</f>
        <v>0</v>
      </c>
      <c r="G355" s="150" t="e">
        <f t="shared" si="16"/>
        <v>#REF!</v>
      </c>
      <c r="H355" s="107" t="e">
        <f>SUM(H356:H358)</f>
        <v>#REF!</v>
      </c>
      <c r="I355" s="128">
        <f>SUM(I356:I358)</f>
        <v>0</v>
      </c>
    </row>
    <row r="356" spans="1:9" ht="17.25" thickBot="1">
      <c r="A356" s="290"/>
      <c r="B356" s="17" t="s">
        <v>79</v>
      </c>
      <c r="C356" s="386" t="s">
        <v>621</v>
      </c>
      <c r="D356" s="151" t="e">
        <f t="shared" si="15"/>
        <v>#REF!</v>
      </c>
      <c r="E356" s="96" t="e">
        <f>gog!#REF!</f>
        <v>#REF!</v>
      </c>
      <c r="F356" s="97"/>
      <c r="G356" s="151" t="e">
        <f t="shared" si="16"/>
        <v>#REF!</v>
      </c>
      <c r="H356" s="96" t="e">
        <f>gog!#REF!</f>
        <v>#REF!</v>
      </c>
      <c r="I356" s="152"/>
    </row>
    <row r="357" spans="1:9" ht="16.5">
      <c r="A357" s="432"/>
      <c r="B357" s="495" t="s">
        <v>91</v>
      </c>
      <c r="C357" s="34" t="s">
        <v>622</v>
      </c>
      <c r="D357" s="369" t="e">
        <f>E357</f>
        <v>#REF!</v>
      </c>
      <c r="E357" s="99" t="e">
        <f>gog!#REF!</f>
        <v>#REF!</v>
      </c>
      <c r="F357" s="100"/>
      <c r="G357" s="369" t="e">
        <f>H357</f>
        <v>#REF!</v>
      </c>
      <c r="H357" s="99" t="e">
        <f>gog!#REF!</f>
        <v>#REF!</v>
      </c>
      <c r="I357" s="173"/>
    </row>
    <row r="358" spans="1:9" ht="17.25" thickBot="1">
      <c r="A358" s="295"/>
      <c r="B358" s="19" t="s">
        <v>100</v>
      </c>
      <c r="C358" s="36" t="s">
        <v>625</v>
      </c>
      <c r="D358" s="149" t="e">
        <f t="shared" si="15"/>
        <v>#REF!</v>
      </c>
      <c r="E358" s="121" t="e">
        <f>gog!#REF!+gog!#REF!+gog!#REF!</f>
        <v>#REF!</v>
      </c>
      <c r="F358" s="114"/>
      <c r="G358" s="149" t="e">
        <f t="shared" si="16"/>
        <v>#REF!</v>
      </c>
      <c r="H358" s="121" t="e">
        <f>gog!#REF!+gog!#REF!+gog!#REF!</f>
        <v>#REF!</v>
      </c>
      <c r="I358" s="370"/>
    </row>
    <row r="359" spans="1:9" ht="32.25" thickBot="1">
      <c r="A359" s="275">
        <v>249</v>
      </c>
      <c r="B359" s="46" t="s">
        <v>170</v>
      </c>
      <c r="C359" s="185" t="s">
        <v>171</v>
      </c>
      <c r="D359" s="186" t="e">
        <f t="shared" si="15"/>
        <v>#REF!</v>
      </c>
      <c r="E359" s="163" t="e">
        <f>SUM(E360:E373)</f>
        <v>#REF!</v>
      </c>
      <c r="F359" s="163">
        <f>F416+F418+F420+F435</f>
        <v>0</v>
      </c>
      <c r="G359" s="186" t="e">
        <f t="shared" si="16"/>
        <v>#REF!</v>
      </c>
      <c r="H359" s="163" t="e">
        <f>SUM(H360:H372)</f>
        <v>#REF!</v>
      </c>
      <c r="I359" s="94">
        <f>I416+I418+I420+I435</f>
        <v>0</v>
      </c>
    </row>
    <row r="360" spans="1:9" ht="16.5">
      <c r="A360" s="275">
        <v>250</v>
      </c>
      <c r="B360" s="17" t="s">
        <v>77</v>
      </c>
      <c r="C360" s="34" t="s">
        <v>172</v>
      </c>
      <c r="D360" s="113" t="e">
        <f t="shared" si="15"/>
        <v>#REF!</v>
      </c>
      <c r="E360" s="96" t="e">
        <f>E375+E389+E403+E423+E436</f>
        <v>#REF!</v>
      </c>
      <c r="F360" s="97">
        <f>F375+F389+F403+F423+F436</f>
        <v>0</v>
      </c>
      <c r="G360" s="113" t="e">
        <f t="shared" si="16"/>
        <v>#REF!</v>
      </c>
      <c r="H360" s="96" t="e">
        <f t="shared" ref="H360:I367" si="21">H375+H389+H403+H423+H436</f>
        <v>#REF!</v>
      </c>
      <c r="I360" s="97">
        <f t="shared" si="21"/>
        <v>0</v>
      </c>
    </row>
    <row r="361" spans="1:9" ht="16.5">
      <c r="A361" s="275">
        <v>251</v>
      </c>
      <c r="B361" s="18" t="s">
        <v>79</v>
      </c>
      <c r="C361" s="31" t="s">
        <v>173</v>
      </c>
      <c r="D361" s="98" t="e">
        <f t="shared" si="15"/>
        <v>#REF!</v>
      </c>
      <c r="E361" s="99" t="e">
        <f>E376+E390+E404+E424+E437</f>
        <v>#REF!</v>
      </c>
      <c r="F361" s="100">
        <f>F376+F390+F404+F424+F437</f>
        <v>0</v>
      </c>
      <c r="G361" s="98" t="e">
        <f t="shared" si="16"/>
        <v>#REF!</v>
      </c>
      <c r="H361" s="99" t="e">
        <f t="shared" si="21"/>
        <v>#REF!</v>
      </c>
      <c r="I361" s="100">
        <f t="shared" si="21"/>
        <v>0</v>
      </c>
    </row>
    <row r="362" spans="1:9" ht="16.5">
      <c r="A362" s="275">
        <v>252</v>
      </c>
      <c r="B362" s="18" t="s">
        <v>81</v>
      </c>
      <c r="C362" s="31" t="s">
        <v>174</v>
      </c>
      <c r="D362" s="98" t="e">
        <f t="shared" si="15"/>
        <v>#REF!</v>
      </c>
      <c r="E362" s="99" t="e">
        <f t="shared" ref="E362:F367" si="22">E377+E391+E405+E425+E438</f>
        <v>#REF!</v>
      </c>
      <c r="F362" s="100">
        <f t="shared" si="22"/>
        <v>0</v>
      </c>
      <c r="G362" s="98" t="e">
        <f t="shared" si="16"/>
        <v>#REF!</v>
      </c>
      <c r="H362" s="99" t="e">
        <f t="shared" si="21"/>
        <v>#REF!</v>
      </c>
      <c r="I362" s="100">
        <f t="shared" si="21"/>
        <v>0</v>
      </c>
    </row>
    <row r="363" spans="1:9" ht="16.5">
      <c r="A363" s="275">
        <v>253</v>
      </c>
      <c r="B363" s="18" t="s">
        <v>83</v>
      </c>
      <c r="C363" s="31" t="s">
        <v>175</v>
      </c>
      <c r="D363" s="98" t="e">
        <f t="shared" si="15"/>
        <v>#REF!</v>
      </c>
      <c r="E363" s="99" t="e">
        <f t="shared" si="22"/>
        <v>#REF!</v>
      </c>
      <c r="F363" s="100">
        <f t="shared" si="22"/>
        <v>0</v>
      </c>
      <c r="G363" s="98" t="e">
        <f t="shared" si="16"/>
        <v>#REF!</v>
      </c>
      <c r="H363" s="99" t="e">
        <f t="shared" si="21"/>
        <v>#REF!</v>
      </c>
      <c r="I363" s="100">
        <f t="shared" si="21"/>
        <v>0</v>
      </c>
    </row>
    <row r="364" spans="1:9" ht="16.5">
      <c r="A364" s="275">
        <v>254</v>
      </c>
      <c r="B364" s="18" t="s">
        <v>85</v>
      </c>
      <c r="C364" s="31" t="s">
        <v>176</v>
      </c>
      <c r="D364" s="98" t="e">
        <f t="shared" si="15"/>
        <v>#REF!</v>
      </c>
      <c r="E364" s="99" t="e">
        <f t="shared" si="22"/>
        <v>#REF!</v>
      </c>
      <c r="F364" s="100">
        <f t="shared" si="22"/>
        <v>0</v>
      </c>
      <c r="G364" s="98" t="e">
        <f t="shared" si="16"/>
        <v>#REF!</v>
      </c>
      <c r="H364" s="99" t="e">
        <f t="shared" si="21"/>
        <v>#REF!</v>
      </c>
      <c r="I364" s="100">
        <f t="shared" si="21"/>
        <v>0</v>
      </c>
    </row>
    <row r="365" spans="1:9" ht="16.5">
      <c r="A365" s="275">
        <v>255</v>
      </c>
      <c r="B365" s="18" t="s">
        <v>87</v>
      </c>
      <c r="C365" s="31" t="s">
        <v>177</v>
      </c>
      <c r="D365" s="98" t="e">
        <f t="shared" si="15"/>
        <v>#REF!</v>
      </c>
      <c r="E365" s="99" t="e">
        <f t="shared" si="22"/>
        <v>#REF!</v>
      </c>
      <c r="F365" s="100">
        <f t="shared" si="22"/>
        <v>0</v>
      </c>
      <c r="G365" s="98" t="e">
        <f t="shared" si="16"/>
        <v>#REF!</v>
      </c>
      <c r="H365" s="99" t="e">
        <f t="shared" si="21"/>
        <v>#REF!</v>
      </c>
      <c r="I365" s="100">
        <f t="shared" si="21"/>
        <v>0</v>
      </c>
    </row>
    <row r="366" spans="1:9" ht="16.5">
      <c r="A366" s="275">
        <v>256</v>
      </c>
      <c r="B366" s="18" t="s">
        <v>25</v>
      </c>
      <c r="C366" s="31" t="s">
        <v>71</v>
      </c>
      <c r="D366" s="98" t="e">
        <f t="shared" si="15"/>
        <v>#REF!</v>
      </c>
      <c r="E366" s="99" t="e">
        <f t="shared" si="22"/>
        <v>#REF!</v>
      </c>
      <c r="F366" s="100">
        <f t="shared" si="22"/>
        <v>0</v>
      </c>
      <c r="G366" s="98" t="e">
        <f t="shared" si="16"/>
        <v>#REF!</v>
      </c>
      <c r="H366" s="99" t="e">
        <f t="shared" si="21"/>
        <v>#REF!</v>
      </c>
      <c r="I366" s="100">
        <f t="shared" si="21"/>
        <v>0</v>
      </c>
    </row>
    <row r="367" spans="1:9" ht="16.5">
      <c r="A367" s="275">
        <v>257</v>
      </c>
      <c r="B367" s="18" t="s">
        <v>89</v>
      </c>
      <c r="C367" s="31" t="s">
        <v>41</v>
      </c>
      <c r="D367" s="98" t="e">
        <f t="shared" si="15"/>
        <v>#REF!</v>
      </c>
      <c r="E367" s="99" t="e">
        <f t="shared" si="22"/>
        <v>#REF!</v>
      </c>
      <c r="F367" s="100">
        <f t="shared" si="22"/>
        <v>0</v>
      </c>
      <c r="G367" s="98" t="e">
        <f t="shared" si="16"/>
        <v>#REF!</v>
      </c>
      <c r="H367" s="99" t="e">
        <f t="shared" si="21"/>
        <v>#REF!</v>
      </c>
      <c r="I367" s="100">
        <f t="shared" si="21"/>
        <v>0</v>
      </c>
    </row>
    <row r="368" spans="1:9" ht="16.5">
      <c r="A368" s="275">
        <v>258</v>
      </c>
      <c r="B368" s="18" t="s">
        <v>91</v>
      </c>
      <c r="C368" s="31" t="s">
        <v>178</v>
      </c>
      <c r="D368" s="98" t="e">
        <f t="shared" si="15"/>
        <v>#REF!</v>
      </c>
      <c r="E368" s="99" t="e">
        <f>E383+E397+E411+E419+E431+E444+E449</f>
        <v>#REF!</v>
      </c>
      <c r="F368" s="100">
        <f>F383+F397+F411+F419+F431+F444+F449</f>
        <v>110800</v>
      </c>
      <c r="G368" s="98" t="e">
        <f t="shared" si="16"/>
        <v>#REF!</v>
      </c>
      <c r="H368" s="99" t="e">
        <f>H383+H397+H411+H419+H431+H444+H449</f>
        <v>#REF!</v>
      </c>
      <c r="I368" s="100">
        <f>I383+I397+I411+I419+I431+I444+I449</f>
        <v>110350</v>
      </c>
    </row>
    <row r="369" spans="1:9" ht="26.25">
      <c r="A369" s="275"/>
      <c r="B369" s="502" t="s">
        <v>144</v>
      </c>
      <c r="C369" s="31" t="s">
        <v>326</v>
      </c>
      <c r="D369" s="98" t="e">
        <f t="shared" si="15"/>
        <v>#REF!</v>
      </c>
      <c r="E369" s="99" t="e">
        <f>E421</f>
        <v>#REF!</v>
      </c>
      <c r="F369" s="100">
        <f>F421</f>
        <v>0</v>
      </c>
      <c r="G369" s="98" t="e">
        <f t="shared" si="16"/>
        <v>#REF!</v>
      </c>
      <c r="H369" s="99" t="e">
        <f>H421</f>
        <v>#REF!</v>
      </c>
      <c r="I369" s="100">
        <f>I421</f>
        <v>0</v>
      </c>
    </row>
    <row r="370" spans="1:9" ht="16.5">
      <c r="A370" s="275">
        <v>259</v>
      </c>
      <c r="B370" s="18" t="s">
        <v>201</v>
      </c>
      <c r="C370" s="31" t="s">
        <v>2154</v>
      </c>
      <c r="D370" s="98">
        <f t="shared" si="15"/>
        <v>0</v>
      </c>
      <c r="E370" s="99">
        <f>E384+E398+E412</f>
        <v>0</v>
      </c>
      <c r="F370" s="100">
        <f>F384+F398+F412</f>
        <v>0</v>
      </c>
      <c r="G370" s="98">
        <f t="shared" si="16"/>
        <v>0</v>
      </c>
      <c r="H370" s="99">
        <f>H384+H398+H412</f>
        <v>0</v>
      </c>
      <c r="I370" s="100">
        <f>I384+I398+I412</f>
        <v>0</v>
      </c>
    </row>
    <row r="371" spans="1:9" ht="16.5">
      <c r="A371" s="275">
        <v>260</v>
      </c>
      <c r="B371" s="18" t="s">
        <v>95</v>
      </c>
      <c r="C371" s="31" t="s">
        <v>179</v>
      </c>
      <c r="D371" s="98" t="e">
        <f t="shared" si="15"/>
        <v>#REF!</v>
      </c>
      <c r="E371" s="99" t="e">
        <f>E385+E399+E413+E432+E445</f>
        <v>#REF!</v>
      </c>
      <c r="F371" s="100">
        <f>F385+F399+F413+F432+F445</f>
        <v>0</v>
      </c>
      <c r="G371" s="98" t="e">
        <f t="shared" si="16"/>
        <v>#REF!</v>
      </c>
      <c r="H371" s="99" t="e">
        <f>H385+H399+H413+H432+H445</f>
        <v>#REF!</v>
      </c>
      <c r="I371" s="100">
        <f>I385+I399+I413+I432+I445</f>
        <v>0</v>
      </c>
    </row>
    <row r="372" spans="1:9" ht="16.5">
      <c r="A372" s="275">
        <v>261</v>
      </c>
      <c r="B372" s="18" t="s">
        <v>97</v>
      </c>
      <c r="C372" s="31" t="s">
        <v>180</v>
      </c>
      <c r="D372" s="98" t="e">
        <f t="shared" si="15"/>
        <v>#REF!</v>
      </c>
      <c r="E372" s="99" t="e">
        <f>E386+E400+E414+E433+E446</f>
        <v>#REF!</v>
      </c>
      <c r="F372" s="100">
        <f>F386+F400+F414+F433+F446</f>
        <v>0</v>
      </c>
      <c r="G372" s="98" t="e">
        <f t="shared" si="16"/>
        <v>#REF!</v>
      </c>
      <c r="H372" s="99" t="e">
        <f>H386+H400+H414+H433+H446</f>
        <v>#REF!</v>
      </c>
      <c r="I372" s="100">
        <f>I386+I400+I414+I433+I446</f>
        <v>0</v>
      </c>
    </row>
    <row r="373" spans="1:9" ht="17.25" thickBot="1">
      <c r="A373" s="295">
        <v>262</v>
      </c>
      <c r="B373" s="19" t="s">
        <v>100</v>
      </c>
      <c r="C373" s="32" t="s">
        <v>181</v>
      </c>
      <c r="D373" s="113" t="e">
        <f t="shared" si="15"/>
        <v>#REF!</v>
      </c>
      <c r="E373" s="102" t="e">
        <f>E387+E401+E415+E434+E447+E450</f>
        <v>#REF!</v>
      </c>
      <c r="F373" s="103">
        <f>F387+F401+F415+F434+F447+F450</f>
        <v>0</v>
      </c>
      <c r="G373" s="113" t="e">
        <f t="shared" si="16"/>
        <v>#REF!</v>
      </c>
      <c r="H373" s="102" t="e">
        <f>H387+H401+H415+H434+H447+H450</f>
        <v>#REF!</v>
      </c>
      <c r="I373" s="103">
        <f>I387+I401+I415+I434+I447+I450</f>
        <v>0</v>
      </c>
    </row>
    <row r="374" spans="1:9" ht="48" thickBot="1">
      <c r="A374" s="48"/>
      <c r="B374" s="497" t="s">
        <v>1814</v>
      </c>
      <c r="C374" s="494" t="s">
        <v>1813</v>
      </c>
      <c r="D374" s="150">
        <f t="shared" si="15"/>
        <v>9076185.3200000003</v>
      </c>
      <c r="E374" s="117">
        <f>SUM(E375:E387)</f>
        <v>8965385.3200000003</v>
      </c>
      <c r="F374" s="118">
        <f>SUM(F375:F387)</f>
        <v>110800</v>
      </c>
      <c r="G374" s="150">
        <f t="shared" si="16"/>
        <v>9071475.5399999991</v>
      </c>
      <c r="H374" s="117">
        <f>SUM(H375:H387)</f>
        <v>8961125.5399999991</v>
      </c>
      <c r="I374" s="118">
        <f>SUM(I375:I387)</f>
        <v>110350</v>
      </c>
    </row>
    <row r="375" spans="1:9" ht="16.5">
      <c r="A375" s="290"/>
      <c r="B375" s="17" t="s">
        <v>77</v>
      </c>
      <c r="C375" s="34" t="s">
        <v>1815</v>
      </c>
      <c r="D375" s="151">
        <f t="shared" si="15"/>
        <v>5635221</v>
      </c>
      <c r="E375" s="96">
        <f>gog!D698</f>
        <v>5635221</v>
      </c>
      <c r="F375" s="97"/>
      <c r="G375" s="151">
        <f t="shared" si="16"/>
        <v>5635221</v>
      </c>
      <c r="H375" s="96">
        <f>gog!G698</f>
        <v>5635221</v>
      </c>
      <c r="I375" s="97"/>
    </row>
    <row r="376" spans="1:9" ht="16.5">
      <c r="A376" s="275"/>
      <c r="B376" s="18" t="s">
        <v>79</v>
      </c>
      <c r="C376" s="34" t="s">
        <v>1816</v>
      </c>
      <c r="D376" s="98">
        <f t="shared" si="15"/>
        <v>135948</v>
      </c>
      <c r="E376" s="96">
        <f>gog!D699</f>
        <v>135948</v>
      </c>
      <c r="F376" s="100"/>
      <c r="G376" s="98">
        <f t="shared" si="16"/>
        <v>135848</v>
      </c>
      <c r="H376" s="96">
        <f>gog!G699</f>
        <v>135848</v>
      </c>
      <c r="I376" s="100"/>
    </row>
    <row r="377" spans="1:9" ht="16.5">
      <c r="A377" s="275"/>
      <c r="B377" s="18" t="s">
        <v>81</v>
      </c>
      <c r="C377" s="34" t="s">
        <v>1817</v>
      </c>
      <c r="D377" s="98">
        <f t="shared" si="15"/>
        <v>2206195</v>
      </c>
      <c r="E377" s="96">
        <f>gog!D700</f>
        <v>2206195</v>
      </c>
      <c r="F377" s="100"/>
      <c r="G377" s="98">
        <f t="shared" si="16"/>
        <v>2206195</v>
      </c>
      <c r="H377" s="96">
        <f>gog!G700</f>
        <v>2206195</v>
      </c>
      <c r="I377" s="100"/>
    </row>
    <row r="378" spans="1:9" ht="16.5">
      <c r="A378" s="275"/>
      <c r="B378" s="18" t="s">
        <v>83</v>
      </c>
      <c r="C378" s="34" t="s">
        <v>1818</v>
      </c>
      <c r="D378" s="98">
        <f t="shared" si="15"/>
        <v>81440.990000000005</v>
      </c>
      <c r="E378" s="96">
        <f>gog!D701</f>
        <v>81440.990000000005</v>
      </c>
      <c r="F378" s="100"/>
      <c r="G378" s="98">
        <f t="shared" si="16"/>
        <v>80476.17</v>
      </c>
      <c r="H378" s="96">
        <f>gog!G701</f>
        <v>80476.17</v>
      </c>
      <c r="I378" s="100"/>
    </row>
    <row r="379" spans="1:9" ht="16.5">
      <c r="A379" s="275"/>
      <c r="B379" s="18" t="s">
        <v>85</v>
      </c>
      <c r="C379" s="34" t="s">
        <v>1819</v>
      </c>
      <c r="D379" s="98">
        <f t="shared" si="15"/>
        <v>69580</v>
      </c>
      <c r="E379" s="96">
        <f>gog!D703</f>
        <v>69580</v>
      </c>
      <c r="F379" s="100"/>
      <c r="G379" s="98">
        <f t="shared" si="16"/>
        <v>69580</v>
      </c>
      <c r="H379" s="96">
        <f>gog!G703</f>
        <v>69580</v>
      </c>
      <c r="I379" s="100"/>
    </row>
    <row r="380" spans="1:9" ht="16.5">
      <c r="A380" s="275"/>
      <c r="B380" s="18" t="s">
        <v>87</v>
      </c>
      <c r="C380" s="34" t="s">
        <v>1820</v>
      </c>
      <c r="D380" s="98">
        <f t="shared" si="15"/>
        <v>30000</v>
      </c>
      <c r="E380" s="96">
        <f>gog!D704</f>
        <v>30000</v>
      </c>
      <c r="F380" s="100"/>
      <c r="G380" s="98">
        <f t="shared" si="16"/>
        <v>30000</v>
      </c>
      <c r="H380" s="96">
        <f>gog!G704</f>
        <v>30000</v>
      </c>
      <c r="I380" s="100"/>
    </row>
    <row r="381" spans="1:9" ht="16.5">
      <c r="A381" s="275"/>
      <c r="B381" s="18" t="s">
        <v>25</v>
      </c>
      <c r="C381" s="34" t="s">
        <v>1821</v>
      </c>
      <c r="D381" s="98">
        <f t="shared" si="15"/>
        <v>0</v>
      </c>
      <c r="E381" s="96">
        <f>gog!D705</f>
        <v>0</v>
      </c>
      <c r="F381" s="100"/>
      <c r="G381" s="98">
        <f t="shared" si="16"/>
        <v>0</v>
      </c>
      <c r="H381" s="96">
        <f>gog!G705</f>
        <v>0</v>
      </c>
      <c r="I381" s="100"/>
    </row>
    <row r="382" spans="1:9" ht="16.5">
      <c r="A382" s="275"/>
      <c r="B382" s="18" t="s">
        <v>89</v>
      </c>
      <c r="C382" s="34" t="s">
        <v>1822</v>
      </c>
      <c r="D382" s="98">
        <f t="shared" si="15"/>
        <v>5000</v>
      </c>
      <c r="E382" s="96">
        <f>gog!D706</f>
        <v>5000</v>
      </c>
      <c r="F382" s="100"/>
      <c r="G382" s="98">
        <f t="shared" si="16"/>
        <v>2340</v>
      </c>
      <c r="H382" s="96">
        <f>gog!G706</f>
        <v>2340</v>
      </c>
      <c r="I382" s="100"/>
    </row>
    <row r="383" spans="1:9" ht="16.5">
      <c r="A383" s="275"/>
      <c r="B383" s="18" t="s">
        <v>91</v>
      </c>
      <c r="C383" s="34" t="s">
        <v>1823</v>
      </c>
      <c r="D383" s="98">
        <f t="shared" si="15"/>
        <v>124823</v>
      </c>
      <c r="E383" s="96">
        <f>gog!D708</f>
        <v>14023</v>
      </c>
      <c r="F383" s="100">
        <f>gog!E708</f>
        <v>110800</v>
      </c>
      <c r="G383" s="98">
        <f t="shared" si="16"/>
        <v>124373</v>
      </c>
      <c r="H383" s="96">
        <f>gog!G708</f>
        <v>14023</v>
      </c>
      <c r="I383" s="100">
        <f>gog!H708</f>
        <v>110350</v>
      </c>
    </row>
    <row r="384" spans="1:9" ht="16.5">
      <c r="A384" s="275"/>
      <c r="B384" s="18" t="s">
        <v>201</v>
      </c>
      <c r="C384" s="34" t="s">
        <v>1824</v>
      </c>
      <c r="D384" s="98">
        <f t="shared" si="15"/>
        <v>0</v>
      </c>
      <c r="E384" s="96">
        <f>gog!D710</f>
        <v>0</v>
      </c>
      <c r="F384" s="100"/>
      <c r="G384" s="98">
        <f t="shared" si="16"/>
        <v>0</v>
      </c>
      <c r="H384" s="96">
        <f>gog!G710</f>
        <v>0</v>
      </c>
      <c r="I384" s="100"/>
    </row>
    <row r="385" spans="1:9" ht="16.5">
      <c r="A385" s="275"/>
      <c r="B385" s="18" t="s">
        <v>95</v>
      </c>
      <c r="C385" s="34" t="s">
        <v>1825</v>
      </c>
      <c r="D385" s="98">
        <f t="shared" si="15"/>
        <v>72600</v>
      </c>
      <c r="E385" s="96">
        <f>gog!D711</f>
        <v>72600</v>
      </c>
      <c r="F385" s="100"/>
      <c r="G385" s="98">
        <f t="shared" si="16"/>
        <v>72600</v>
      </c>
      <c r="H385" s="96">
        <f>gog!G711</f>
        <v>72600</v>
      </c>
      <c r="I385" s="100"/>
    </row>
    <row r="386" spans="1:9" ht="16.5">
      <c r="A386" s="275"/>
      <c r="B386" s="18" t="s">
        <v>97</v>
      </c>
      <c r="C386" s="34" t="s">
        <v>1699</v>
      </c>
      <c r="D386" s="98">
        <f t="shared" si="15"/>
        <v>318308.33</v>
      </c>
      <c r="E386" s="96">
        <f>gog!D714</f>
        <v>318308.33</v>
      </c>
      <c r="F386" s="100"/>
      <c r="G386" s="98">
        <f t="shared" si="16"/>
        <v>317808.37</v>
      </c>
      <c r="H386" s="96">
        <f>gog!G714</f>
        <v>317808.37</v>
      </c>
      <c r="I386" s="100"/>
    </row>
    <row r="387" spans="1:9" ht="17.25" thickBot="1">
      <c r="A387" s="295"/>
      <c r="B387" s="19" t="s">
        <v>100</v>
      </c>
      <c r="C387" s="36" t="s">
        <v>1700</v>
      </c>
      <c r="D387" s="149">
        <f t="shared" si="15"/>
        <v>397069</v>
      </c>
      <c r="E387" s="96">
        <f>gog!D716</f>
        <v>397069</v>
      </c>
      <c r="F387" s="103"/>
      <c r="G387" s="149">
        <f t="shared" si="16"/>
        <v>397034</v>
      </c>
      <c r="H387" s="96">
        <f>gog!G716</f>
        <v>397034</v>
      </c>
      <c r="I387" s="103"/>
    </row>
    <row r="388" spans="1:9" ht="17.25" thickBot="1">
      <c r="A388" s="48"/>
      <c r="B388" s="279" t="s">
        <v>1705</v>
      </c>
      <c r="C388" s="47" t="s">
        <v>1706</v>
      </c>
      <c r="D388" s="150">
        <f t="shared" si="15"/>
        <v>1131671.03</v>
      </c>
      <c r="E388" s="117">
        <f>SUM(E389:E401)</f>
        <v>1131671.03</v>
      </c>
      <c r="F388" s="118">
        <f>SUM(F389:F401)</f>
        <v>0</v>
      </c>
      <c r="G388" s="150">
        <f t="shared" si="16"/>
        <v>1123296.08</v>
      </c>
      <c r="H388" s="117">
        <f>SUM(H389:H401)</f>
        <v>1123296.08</v>
      </c>
      <c r="I388" s="118">
        <f>SUM(I389:I401)</f>
        <v>0</v>
      </c>
    </row>
    <row r="389" spans="1:9" ht="16.5">
      <c r="A389" s="290"/>
      <c r="B389" s="17" t="s">
        <v>77</v>
      </c>
      <c r="C389" s="34" t="s">
        <v>1707</v>
      </c>
      <c r="D389" s="151">
        <f t="shared" si="15"/>
        <v>731660</v>
      </c>
      <c r="E389" s="96">
        <f>gog!D718</f>
        <v>731660</v>
      </c>
      <c r="F389" s="97"/>
      <c r="G389" s="151">
        <f t="shared" si="16"/>
        <v>731660</v>
      </c>
      <c r="H389" s="96">
        <f>gog!G718</f>
        <v>731660</v>
      </c>
      <c r="I389" s="97"/>
    </row>
    <row r="390" spans="1:9" ht="16.5">
      <c r="A390" s="275"/>
      <c r="B390" s="18" t="s">
        <v>79</v>
      </c>
      <c r="C390" s="34" t="s">
        <v>1708</v>
      </c>
      <c r="D390" s="98">
        <f t="shared" si="15"/>
        <v>14330</v>
      </c>
      <c r="E390" s="96">
        <f>gog!D719</f>
        <v>14330</v>
      </c>
      <c r="F390" s="100"/>
      <c r="G390" s="98">
        <f t="shared" si="16"/>
        <v>14330</v>
      </c>
      <c r="H390" s="96">
        <f>gog!G719</f>
        <v>14330</v>
      </c>
      <c r="I390" s="100"/>
    </row>
    <row r="391" spans="1:9" ht="16.5">
      <c r="A391" s="275"/>
      <c r="B391" s="18" t="s">
        <v>81</v>
      </c>
      <c r="C391" s="34" t="s">
        <v>1709</v>
      </c>
      <c r="D391" s="98">
        <f t="shared" si="15"/>
        <v>213600</v>
      </c>
      <c r="E391" s="96">
        <f>gog!D720</f>
        <v>213600</v>
      </c>
      <c r="F391" s="100"/>
      <c r="G391" s="98">
        <f t="shared" si="16"/>
        <v>207100.54</v>
      </c>
      <c r="H391" s="96">
        <f>gog!G720</f>
        <v>207100.54</v>
      </c>
      <c r="I391" s="100"/>
    </row>
    <row r="392" spans="1:9" ht="16.5">
      <c r="A392" s="275"/>
      <c r="B392" s="18" t="s">
        <v>83</v>
      </c>
      <c r="C392" s="34" t="s">
        <v>1710</v>
      </c>
      <c r="D392" s="98">
        <f t="shared" si="15"/>
        <v>1000</v>
      </c>
      <c r="E392" s="96">
        <f>gog!D722</f>
        <v>1000</v>
      </c>
      <c r="F392" s="100"/>
      <c r="G392" s="98">
        <f t="shared" si="16"/>
        <v>743.5</v>
      </c>
      <c r="H392" s="96">
        <f>gog!G722</f>
        <v>743.5</v>
      </c>
      <c r="I392" s="100"/>
    </row>
    <row r="393" spans="1:9" ht="16.5">
      <c r="A393" s="275"/>
      <c r="B393" s="18" t="s">
        <v>85</v>
      </c>
      <c r="C393" s="34" t="s">
        <v>1711</v>
      </c>
      <c r="D393" s="98">
        <f t="shared" si="15"/>
        <v>14330</v>
      </c>
      <c r="E393" s="96">
        <f>gog!D723</f>
        <v>14330</v>
      </c>
      <c r="F393" s="100"/>
      <c r="G393" s="98">
        <f t="shared" si="16"/>
        <v>14330</v>
      </c>
      <c r="H393" s="96">
        <f>gog!G723</f>
        <v>14330</v>
      </c>
      <c r="I393" s="100"/>
    </row>
    <row r="394" spans="1:9" ht="16.5">
      <c r="A394" s="275"/>
      <c r="B394" s="18" t="s">
        <v>87</v>
      </c>
      <c r="C394" s="34" t="s">
        <v>1712</v>
      </c>
      <c r="D394" s="98">
        <f t="shared" si="15"/>
        <v>0</v>
      </c>
      <c r="E394" s="96">
        <f>gog!D724</f>
        <v>0</v>
      </c>
      <c r="F394" s="100"/>
      <c r="G394" s="98">
        <f t="shared" si="16"/>
        <v>0</v>
      </c>
      <c r="H394" s="96">
        <f>gog!G724</f>
        <v>0</v>
      </c>
      <c r="I394" s="100"/>
    </row>
    <row r="395" spans="1:9" ht="16.5">
      <c r="A395" s="275"/>
      <c r="B395" s="18" t="s">
        <v>25</v>
      </c>
      <c r="C395" s="34" t="s">
        <v>1713</v>
      </c>
      <c r="D395" s="98">
        <f t="shared" si="15"/>
        <v>107615.34</v>
      </c>
      <c r="E395" s="96">
        <f>gog!D725</f>
        <v>107615.34</v>
      </c>
      <c r="F395" s="100"/>
      <c r="G395" s="98">
        <f t="shared" si="16"/>
        <v>107615.34</v>
      </c>
      <c r="H395" s="96">
        <f>gog!G725</f>
        <v>107615.34</v>
      </c>
      <c r="I395" s="100"/>
    </row>
    <row r="396" spans="1:9" ht="16.5">
      <c r="A396" s="275"/>
      <c r="B396" s="18" t="s">
        <v>89</v>
      </c>
      <c r="C396" s="34" t="s">
        <v>1714</v>
      </c>
      <c r="D396" s="98">
        <f t="shared" si="15"/>
        <v>0</v>
      </c>
      <c r="E396" s="96">
        <f>gog!D727</f>
        <v>0</v>
      </c>
      <c r="F396" s="100"/>
      <c r="G396" s="98">
        <f t="shared" si="16"/>
        <v>0</v>
      </c>
      <c r="H396" s="96">
        <f>gog!G727</f>
        <v>0</v>
      </c>
      <c r="I396" s="100"/>
    </row>
    <row r="397" spans="1:9" ht="16.5">
      <c r="A397" s="275"/>
      <c r="B397" s="18" t="s">
        <v>91</v>
      </c>
      <c r="C397" s="34" t="s">
        <v>1715</v>
      </c>
      <c r="D397" s="98">
        <f t="shared" si="15"/>
        <v>13988.7</v>
      </c>
      <c r="E397" s="96">
        <f>gog!D729</f>
        <v>13988.7</v>
      </c>
      <c r="F397" s="100"/>
      <c r="G397" s="98">
        <f t="shared" si="16"/>
        <v>13988.7</v>
      </c>
      <c r="H397" s="96">
        <f>gog!G729</f>
        <v>13988.7</v>
      </c>
      <c r="I397" s="100"/>
    </row>
    <row r="398" spans="1:9" ht="16.5">
      <c r="A398" s="275"/>
      <c r="B398" s="18" t="s">
        <v>201</v>
      </c>
      <c r="C398" s="34" t="s">
        <v>1716</v>
      </c>
      <c r="D398" s="98">
        <f t="shared" si="15"/>
        <v>0</v>
      </c>
      <c r="E398" s="96">
        <f>gog!D730</f>
        <v>0</v>
      </c>
      <c r="F398" s="100"/>
      <c r="G398" s="98">
        <f t="shared" si="16"/>
        <v>0</v>
      </c>
      <c r="H398" s="96">
        <f>gog!G730</f>
        <v>0</v>
      </c>
      <c r="I398" s="100"/>
    </row>
    <row r="399" spans="1:9" ht="16.5">
      <c r="A399" s="275"/>
      <c r="B399" s="18" t="s">
        <v>95</v>
      </c>
      <c r="C399" s="34" t="s">
        <v>1717</v>
      </c>
      <c r="D399" s="98">
        <f t="shared" si="15"/>
        <v>8000</v>
      </c>
      <c r="E399" s="96">
        <f>gog!D732</f>
        <v>8000</v>
      </c>
      <c r="F399" s="100"/>
      <c r="G399" s="98">
        <f t="shared" si="16"/>
        <v>8000</v>
      </c>
      <c r="H399" s="96">
        <f>gog!G732</f>
        <v>8000</v>
      </c>
      <c r="I399" s="100"/>
    </row>
    <row r="400" spans="1:9" ht="16.5">
      <c r="A400" s="275"/>
      <c r="B400" s="18" t="s">
        <v>97</v>
      </c>
      <c r="C400" s="34" t="s">
        <v>1718</v>
      </c>
      <c r="D400" s="98">
        <f t="shared" si="15"/>
        <v>2146.9899999999998</v>
      </c>
      <c r="E400" s="96">
        <f>gog!D733</f>
        <v>2146.9899999999998</v>
      </c>
      <c r="F400" s="100"/>
      <c r="G400" s="98">
        <f t="shared" si="16"/>
        <v>1900</v>
      </c>
      <c r="H400" s="96">
        <f>gog!G733</f>
        <v>1900</v>
      </c>
      <c r="I400" s="100"/>
    </row>
    <row r="401" spans="1:9" ht="17.25" thickBot="1">
      <c r="A401" s="295"/>
      <c r="B401" s="19" t="s">
        <v>100</v>
      </c>
      <c r="C401" s="36" t="s">
        <v>1721</v>
      </c>
      <c r="D401" s="149">
        <f t="shared" si="15"/>
        <v>25000</v>
      </c>
      <c r="E401" s="96">
        <f>gog!D735</f>
        <v>25000</v>
      </c>
      <c r="F401" s="103"/>
      <c r="G401" s="149">
        <f t="shared" si="16"/>
        <v>23628</v>
      </c>
      <c r="H401" s="96">
        <f>gog!G735</f>
        <v>23628</v>
      </c>
      <c r="I401" s="103"/>
    </row>
    <row r="402" spans="1:9" ht="17.25" thickBot="1">
      <c r="A402" s="48"/>
      <c r="B402" s="497" t="s">
        <v>1722</v>
      </c>
      <c r="C402" s="494" t="s">
        <v>1723</v>
      </c>
      <c r="D402" s="150">
        <f t="shared" si="15"/>
        <v>9792182.7799999993</v>
      </c>
      <c r="E402" s="117">
        <f>SUM(E403:E415)</f>
        <v>9792182.7799999993</v>
      </c>
      <c r="F402" s="118">
        <f>SUM(F403:F415)</f>
        <v>0</v>
      </c>
      <c r="G402" s="150">
        <f t="shared" si="16"/>
        <v>9706719.4000000004</v>
      </c>
      <c r="H402" s="117">
        <f>SUM(H403:H415)</f>
        <v>9706719.4000000004</v>
      </c>
      <c r="I402" s="118">
        <f>SUM(I403:I415)</f>
        <v>0</v>
      </c>
    </row>
    <row r="403" spans="1:9" ht="16.5">
      <c r="A403" s="290"/>
      <c r="B403" s="17" t="s">
        <v>77</v>
      </c>
      <c r="C403" s="34" t="s">
        <v>2301</v>
      </c>
      <c r="D403" s="151">
        <f t="shared" si="15"/>
        <v>5628205.3700000001</v>
      </c>
      <c r="E403" s="96">
        <f>gog!D737</f>
        <v>5628205.3700000001</v>
      </c>
      <c r="F403" s="97"/>
      <c r="G403" s="151">
        <f t="shared" si="16"/>
        <v>5628204.54</v>
      </c>
      <c r="H403" s="96">
        <f>gog!G737</f>
        <v>5628204.54</v>
      </c>
      <c r="I403" s="97"/>
    </row>
    <row r="404" spans="1:9" ht="16.5">
      <c r="A404" s="275"/>
      <c r="B404" s="18" t="s">
        <v>79</v>
      </c>
      <c r="C404" s="34" t="s">
        <v>2302</v>
      </c>
      <c r="D404" s="98">
        <f t="shared" si="15"/>
        <v>95240</v>
      </c>
      <c r="E404" s="96">
        <f>gog!D738</f>
        <v>95240</v>
      </c>
      <c r="F404" s="100"/>
      <c r="G404" s="98">
        <f t="shared" si="16"/>
        <v>94540.36</v>
      </c>
      <c r="H404" s="96">
        <f>gog!G738</f>
        <v>94540.36</v>
      </c>
      <c r="I404" s="100"/>
    </row>
    <row r="405" spans="1:9" ht="16.5">
      <c r="A405" s="275"/>
      <c r="B405" s="18" t="s">
        <v>81</v>
      </c>
      <c r="C405" s="34" t="s">
        <v>2303</v>
      </c>
      <c r="D405" s="98">
        <f t="shared" si="15"/>
        <v>1827020</v>
      </c>
      <c r="E405" s="96">
        <f>gog!D739</f>
        <v>1827020</v>
      </c>
      <c r="F405" s="100"/>
      <c r="G405" s="98">
        <f t="shared" si="16"/>
        <v>1812350.83</v>
      </c>
      <c r="H405" s="96">
        <f>gog!G739</f>
        <v>1812350.83</v>
      </c>
      <c r="I405" s="100"/>
    </row>
    <row r="406" spans="1:9" ht="16.5">
      <c r="A406" s="275"/>
      <c r="B406" s="18" t="s">
        <v>83</v>
      </c>
      <c r="C406" s="34" t="s">
        <v>2304</v>
      </c>
      <c r="D406" s="98">
        <f t="shared" si="15"/>
        <v>2000</v>
      </c>
      <c r="E406" s="96">
        <f>gog!D741</f>
        <v>2000</v>
      </c>
      <c r="F406" s="100"/>
      <c r="G406" s="98">
        <f t="shared" si="16"/>
        <v>2000</v>
      </c>
      <c r="H406" s="96">
        <f>gog!G741</f>
        <v>2000</v>
      </c>
      <c r="I406" s="100"/>
    </row>
    <row r="407" spans="1:9" ht="16.5">
      <c r="A407" s="275"/>
      <c r="B407" s="18" t="s">
        <v>85</v>
      </c>
      <c r="C407" s="34" t="s">
        <v>2305</v>
      </c>
      <c r="D407" s="98">
        <f t="shared" si="15"/>
        <v>97706.8</v>
      </c>
      <c r="E407" s="96">
        <f>gog!D742</f>
        <v>97706.8</v>
      </c>
      <c r="F407" s="100"/>
      <c r="G407" s="98">
        <f t="shared" si="16"/>
        <v>97647.02</v>
      </c>
      <c r="H407" s="96">
        <f>gog!G742</f>
        <v>97647.02</v>
      </c>
      <c r="I407" s="100"/>
    </row>
    <row r="408" spans="1:9" ht="16.5">
      <c r="A408" s="275"/>
      <c r="B408" s="18" t="s">
        <v>87</v>
      </c>
      <c r="C408" s="34" t="s">
        <v>2306</v>
      </c>
      <c r="D408" s="98">
        <f t="shared" si="15"/>
        <v>20000</v>
      </c>
      <c r="E408" s="96">
        <f>gog!D743</f>
        <v>20000</v>
      </c>
      <c r="F408" s="100"/>
      <c r="G408" s="98">
        <f t="shared" si="16"/>
        <v>20000</v>
      </c>
      <c r="H408" s="96">
        <f>gog!G743</f>
        <v>20000</v>
      </c>
      <c r="I408" s="100"/>
    </row>
    <row r="409" spans="1:9" ht="16.5">
      <c r="A409" s="275"/>
      <c r="B409" s="18" t="s">
        <v>25</v>
      </c>
      <c r="C409" s="34" t="s">
        <v>2307</v>
      </c>
      <c r="D409" s="98">
        <f t="shared" si="15"/>
        <v>0</v>
      </c>
      <c r="E409" s="96">
        <f>gog!D744</f>
        <v>0</v>
      </c>
      <c r="F409" s="100"/>
      <c r="G409" s="98">
        <f t="shared" si="16"/>
        <v>0</v>
      </c>
      <c r="H409" s="96">
        <f>gog!G744</f>
        <v>0</v>
      </c>
      <c r="I409" s="100"/>
    </row>
    <row r="410" spans="1:9" ht="16.5">
      <c r="A410" s="275"/>
      <c r="B410" s="18" t="s">
        <v>89</v>
      </c>
      <c r="C410" s="34" t="s">
        <v>2308</v>
      </c>
      <c r="D410" s="98">
        <f t="shared" si="15"/>
        <v>551781.52</v>
      </c>
      <c r="E410" s="96">
        <f>gog!D746</f>
        <v>551781.52</v>
      </c>
      <c r="F410" s="100"/>
      <c r="G410" s="98">
        <f t="shared" si="16"/>
        <v>551781.52</v>
      </c>
      <c r="H410" s="96">
        <f>gog!G746</f>
        <v>551781.52</v>
      </c>
      <c r="I410" s="100"/>
    </row>
    <row r="411" spans="1:9" ht="16.5">
      <c r="A411" s="275"/>
      <c r="B411" s="18" t="s">
        <v>91</v>
      </c>
      <c r="C411" s="34" t="s">
        <v>2309</v>
      </c>
      <c r="D411" s="98">
        <f t="shared" si="15"/>
        <v>612401.81999999995</v>
      </c>
      <c r="E411" s="96">
        <f>gog!D748</f>
        <v>612401.81999999995</v>
      </c>
      <c r="F411" s="100"/>
      <c r="G411" s="98">
        <f t="shared" si="16"/>
        <v>594159.4</v>
      </c>
      <c r="H411" s="96">
        <f>gog!G748</f>
        <v>594159.4</v>
      </c>
      <c r="I411" s="100"/>
    </row>
    <row r="412" spans="1:9" ht="16.5">
      <c r="A412" s="275"/>
      <c r="B412" s="18" t="s">
        <v>201</v>
      </c>
      <c r="C412" s="34" t="s">
        <v>2310</v>
      </c>
      <c r="D412" s="98">
        <f t="shared" si="15"/>
        <v>0</v>
      </c>
      <c r="E412" s="96">
        <f>gog!D749</f>
        <v>0</v>
      </c>
      <c r="F412" s="100"/>
      <c r="G412" s="98">
        <f t="shared" si="16"/>
        <v>0</v>
      </c>
      <c r="H412" s="96">
        <f>gog!G749</f>
        <v>0</v>
      </c>
      <c r="I412" s="100"/>
    </row>
    <row r="413" spans="1:9" ht="16.5">
      <c r="A413" s="275"/>
      <c r="B413" s="18" t="s">
        <v>95</v>
      </c>
      <c r="C413" s="34" t="s">
        <v>2311</v>
      </c>
      <c r="D413" s="98">
        <f t="shared" si="15"/>
        <v>576608.92000000004</v>
      </c>
      <c r="E413" s="96">
        <f>gog!D751</f>
        <v>576608.92000000004</v>
      </c>
      <c r="F413" s="100"/>
      <c r="G413" s="98">
        <f t="shared" si="16"/>
        <v>575872.23</v>
      </c>
      <c r="H413" s="96">
        <f>gog!G751</f>
        <v>575872.23</v>
      </c>
      <c r="I413" s="100"/>
    </row>
    <row r="414" spans="1:9" ht="16.5">
      <c r="A414" s="275"/>
      <c r="B414" s="18" t="s">
        <v>97</v>
      </c>
      <c r="C414" s="34" t="s">
        <v>2312</v>
      </c>
      <c r="D414" s="98">
        <f t="shared" si="15"/>
        <v>0</v>
      </c>
      <c r="E414" s="96">
        <f>gog!D752</f>
        <v>0</v>
      </c>
      <c r="F414" s="100"/>
      <c r="G414" s="98">
        <f t="shared" si="16"/>
        <v>0</v>
      </c>
      <c r="H414" s="96">
        <f>gog!G752</f>
        <v>0</v>
      </c>
      <c r="I414" s="100"/>
    </row>
    <row r="415" spans="1:9" ht="17.25" thickBot="1">
      <c r="A415" s="295"/>
      <c r="B415" s="19" t="s">
        <v>100</v>
      </c>
      <c r="C415" s="36" t="s">
        <v>2313</v>
      </c>
      <c r="D415" s="149">
        <f t="shared" si="15"/>
        <v>381218.35</v>
      </c>
      <c r="E415" s="96">
        <f>gog!D754</f>
        <v>381218.35</v>
      </c>
      <c r="F415" s="103"/>
      <c r="G415" s="149">
        <f t="shared" si="16"/>
        <v>330163.5</v>
      </c>
      <c r="H415" s="96">
        <f>gog!G754</f>
        <v>330163.5</v>
      </c>
      <c r="I415" s="103"/>
    </row>
    <row r="416" spans="1:9" ht="48" thickBot="1">
      <c r="A416" s="48">
        <v>263</v>
      </c>
      <c r="B416" s="497" t="s">
        <v>1642</v>
      </c>
      <c r="C416" s="494" t="s">
        <v>2314</v>
      </c>
      <c r="D416" s="150">
        <f t="shared" si="15"/>
        <v>132900</v>
      </c>
      <c r="E416" s="105">
        <f>E417</f>
        <v>132900</v>
      </c>
      <c r="F416" s="118">
        <f>F417</f>
        <v>0</v>
      </c>
      <c r="G416" s="150">
        <f t="shared" si="16"/>
        <v>0</v>
      </c>
      <c r="H416" s="117">
        <f>H417</f>
        <v>0</v>
      </c>
      <c r="I416" s="148">
        <f>I417</f>
        <v>0</v>
      </c>
    </row>
    <row r="417" spans="1:9" ht="17.25" thickBot="1">
      <c r="A417" s="290">
        <v>276</v>
      </c>
      <c r="B417" s="503" t="s">
        <v>97</v>
      </c>
      <c r="C417" s="41" t="s">
        <v>2315</v>
      </c>
      <c r="D417" s="151">
        <f t="shared" ref="D417:D510" si="23">E417+F417</f>
        <v>132900</v>
      </c>
      <c r="E417" s="96">
        <f>gog!D756</f>
        <v>132900</v>
      </c>
      <c r="F417" s="97"/>
      <c r="G417" s="151">
        <f>H417+I417</f>
        <v>0</v>
      </c>
      <c r="H417" s="96">
        <f>gog!G756</f>
        <v>0</v>
      </c>
      <c r="I417" s="97"/>
    </row>
    <row r="418" spans="1:9" ht="17.25" thickBot="1">
      <c r="A418" s="275">
        <v>277</v>
      </c>
      <c r="B418" s="497" t="s">
        <v>184</v>
      </c>
      <c r="C418" s="500" t="s">
        <v>2316</v>
      </c>
      <c r="D418" s="101" t="e">
        <f t="shared" si="23"/>
        <v>#REF!</v>
      </c>
      <c r="E418" s="439" t="e">
        <f>E419</f>
        <v>#REF!</v>
      </c>
      <c r="F418" s="158"/>
      <c r="G418" s="101" t="e">
        <f t="shared" ref="G418:G510" si="24">H418+I418</f>
        <v>#REF!</v>
      </c>
      <c r="H418" s="439" t="e">
        <f>H419</f>
        <v>#REF!</v>
      </c>
      <c r="I418" s="182"/>
    </row>
    <row r="419" spans="1:9" ht="27" thickBot="1">
      <c r="A419" s="275">
        <v>278</v>
      </c>
      <c r="B419" s="502" t="s">
        <v>144</v>
      </c>
      <c r="C419" s="41" t="s">
        <v>2317</v>
      </c>
      <c r="D419" s="104" t="e">
        <f t="shared" si="23"/>
        <v>#REF!</v>
      </c>
      <c r="E419" s="121" t="e">
        <f>gog!#REF!</f>
        <v>#REF!</v>
      </c>
      <c r="F419" s="114"/>
      <c r="G419" s="104" t="e">
        <f t="shared" si="24"/>
        <v>#REF!</v>
      </c>
      <c r="H419" s="121" t="e">
        <f>gog!#REF!</f>
        <v>#REF!</v>
      </c>
      <c r="I419" s="114"/>
    </row>
    <row r="420" spans="1:9" ht="32.25" thickBot="1">
      <c r="A420" s="275">
        <v>279</v>
      </c>
      <c r="B420" s="509" t="s">
        <v>185</v>
      </c>
      <c r="C420" s="500" t="s">
        <v>2318</v>
      </c>
      <c r="D420" s="104" t="e">
        <f t="shared" si="23"/>
        <v>#REF!</v>
      </c>
      <c r="E420" s="105" t="e">
        <f>E421</f>
        <v>#REF!</v>
      </c>
      <c r="F420" s="106"/>
      <c r="G420" s="104" t="e">
        <f t="shared" si="24"/>
        <v>#REF!</v>
      </c>
      <c r="H420" s="105" t="e">
        <f>H421</f>
        <v>#REF!</v>
      </c>
      <c r="I420" s="128"/>
    </row>
    <row r="421" spans="1:9" ht="27" thickBot="1">
      <c r="A421" s="275">
        <v>280</v>
      </c>
      <c r="B421" s="502" t="s">
        <v>144</v>
      </c>
      <c r="C421" s="41" t="s">
        <v>2319</v>
      </c>
      <c r="D421" s="95" t="e">
        <f t="shared" si="23"/>
        <v>#REF!</v>
      </c>
      <c r="E421" s="121" t="e">
        <f>gog!#REF!</f>
        <v>#REF!</v>
      </c>
      <c r="F421" s="114"/>
      <c r="G421" s="95" t="e">
        <f t="shared" si="24"/>
        <v>#REF!</v>
      </c>
      <c r="H421" s="121" t="e">
        <f>gog!#REF!</f>
        <v>#REF!</v>
      </c>
      <c r="I421" s="114"/>
    </row>
    <row r="422" spans="1:9" ht="48" thickBot="1">
      <c r="A422" s="275"/>
      <c r="B422" s="509" t="s">
        <v>2324</v>
      </c>
      <c r="C422" s="500" t="s">
        <v>2325</v>
      </c>
      <c r="D422" s="150" t="e">
        <f>E422+F422</f>
        <v>#REF!</v>
      </c>
      <c r="E422" s="117" t="e">
        <f>SUM(E423:E434)</f>
        <v>#REF!</v>
      </c>
      <c r="F422" s="118">
        <f>SUM(F423:F434)</f>
        <v>0</v>
      </c>
      <c r="G422" s="150" t="e">
        <f>H422+I422</f>
        <v>#REF!</v>
      </c>
      <c r="H422" s="117" t="e">
        <f>SUM(H423:H434)</f>
        <v>#REF!</v>
      </c>
      <c r="I422" s="118">
        <f>SUM(I423:I434)</f>
        <v>0</v>
      </c>
    </row>
    <row r="423" spans="1:9" ht="16.5">
      <c r="A423" s="275"/>
      <c r="B423" s="17" t="s">
        <v>77</v>
      </c>
      <c r="C423" s="34" t="s">
        <v>2326</v>
      </c>
      <c r="D423" s="151" t="e">
        <f t="shared" ref="D423:D434" si="25">E423+F423</f>
        <v>#REF!</v>
      </c>
      <c r="E423" s="96" t="e">
        <f>gog!#REF!</f>
        <v>#REF!</v>
      </c>
      <c r="F423" s="97"/>
      <c r="G423" s="151" t="e">
        <f t="shared" ref="G423:G434" si="26">H423+I423</f>
        <v>#REF!</v>
      </c>
      <c r="H423" s="96" t="e">
        <f>gog!#REF!</f>
        <v>#REF!</v>
      </c>
      <c r="I423" s="97"/>
    </row>
    <row r="424" spans="1:9" ht="16.5">
      <c r="A424" s="275"/>
      <c r="B424" s="18" t="s">
        <v>79</v>
      </c>
      <c r="C424" s="34" t="s">
        <v>2327</v>
      </c>
      <c r="D424" s="98" t="e">
        <f t="shared" si="25"/>
        <v>#REF!</v>
      </c>
      <c r="E424" s="96" t="e">
        <f>gog!#REF!</f>
        <v>#REF!</v>
      </c>
      <c r="F424" s="100"/>
      <c r="G424" s="98" t="e">
        <f t="shared" si="26"/>
        <v>#REF!</v>
      </c>
      <c r="H424" s="96" t="e">
        <f>gog!#REF!</f>
        <v>#REF!</v>
      </c>
      <c r="I424" s="100"/>
    </row>
    <row r="425" spans="1:9" ht="16.5">
      <c r="A425" s="275"/>
      <c r="B425" s="18" t="s">
        <v>81</v>
      </c>
      <c r="C425" s="34" t="s">
        <v>2328</v>
      </c>
      <c r="D425" s="98" t="e">
        <f t="shared" si="25"/>
        <v>#REF!</v>
      </c>
      <c r="E425" s="96" t="e">
        <f>gog!#REF!</f>
        <v>#REF!</v>
      </c>
      <c r="F425" s="100"/>
      <c r="G425" s="98" t="e">
        <f t="shared" si="26"/>
        <v>#REF!</v>
      </c>
      <c r="H425" s="96" t="e">
        <f>gog!#REF!</f>
        <v>#REF!</v>
      </c>
      <c r="I425" s="100"/>
    </row>
    <row r="426" spans="1:9" ht="16.5">
      <c r="A426" s="275"/>
      <c r="B426" s="18" t="s">
        <v>83</v>
      </c>
      <c r="C426" s="34" t="s">
        <v>2329</v>
      </c>
      <c r="D426" s="98" t="e">
        <f t="shared" si="25"/>
        <v>#REF!</v>
      </c>
      <c r="E426" s="96" t="e">
        <f>gog!#REF!</f>
        <v>#REF!</v>
      </c>
      <c r="F426" s="100"/>
      <c r="G426" s="98" t="e">
        <f t="shared" si="26"/>
        <v>#REF!</v>
      </c>
      <c r="H426" s="96" t="e">
        <f>gog!#REF!</f>
        <v>#REF!</v>
      </c>
      <c r="I426" s="100"/>
    </row>
    <row r="427" spans="1:9" ht="16.5">
      <c r="A427" s="275"/>
      <c r="B427" s="18" t="s">
        <v>85</v>
      </c>
      <c r="C427" s="34" t="s">
        <v>2330</v>
      </c>
      <c r="D427" s="98" t="e">
        <f t="shared" si="25"/>
        <v>#REF!</v>
      </c>
      <c r="E427" s="96" t="e">
        <f>gog!#REF!</f>
        <v>#REF!</v>
      </c>
      <c r="F427" s="100"/>
      <c r="G427" s="98" t="e">
        <f t="shared" si="26"/>
        <v>#REF!</v>
      </c>
      <c r="H427" s="96" t="e">
        <f>gog!#REF!</f>
        <v>#REF!</v>
      </c>
      <c r="I427" s="100"/>
    </row>
    <row r="428" spans="1:9" ht="16.5">
      <c r="A428" s="275"/>
      <c r="B428" s="18" t="s">
        <v>87</v>
      </c>
      <c r="C428" s="34" t="s">
        <v>2331</v>
      </c>
      <c r="D428" s="98" t="e">
        <f t="shared" si="25"/>
        <v>#REF!</v>
      </c>
      <c r="E428" s="96" t="e">
        <f>gog!#REF!</f>
        <v>#REF!</v>
      </c>
      <c r="F428" s="100"/>
      <c r="G428" s="98" t="e">
        <f t="shared" si="26"/>
        <v>#REF!</v>
      </c>
      <c r="H428" s="96" t="e">
        <f>gog!#REF!</f>
        <v>#REF!</v>
      </c>
      <c r="I428" s="100"/>
    </row>
    <row r="429" spans="1:9" ht="16.5">
      <c r="A429" s="275"/>
      <c r="B429" s="18" t="s">
        <v>25</v>
      </c>
      <c r="C429" s="34" t="s">
        <v>2332</v>
      </c>
      <c r="D429" s="98" t="e">
        <f t="shared" si="25"/>
        <v>#REF!</v>
      </c>
      <c r="E429" s="96" t="e">
        <f>gog!#REF!</f>
        <v>#REF!</v>
      </c>
      <c r="F429" s="100"/>
      <c r="G429" s="98" t="e">
        <f t="shared" si="26"/>
        <v>#REF!</v>
      </c>
      <c r="H429" s="96" t="e">
        <f>gog!#REF!</f>
        <v>#REF!</v>
      </c>
      <c r="I429" s="100"/>
    </row>
    <row r="430" spans="1:9" ht="16.5">
      <c r="A430" s="275"/>
      <c r="B430" s="18" t="s">
        <v>89</v>
      </c>
      <c r="C430" s="34" t="s">
        <v>2333</v>
      </c>
      <c r="D430" s="98" t="e">
        <f t="shared" si="25"/>
        <v>#REF!</v>
      </c>
      <c r="E430" s="96" t="e">
        <f>gog!#REF!</f>
        <v>#REF!</v>
      </c>
      <c r="F430" s="100"/>
      <c r="G430" s="98" t="e">
        <f t="shared" si="26"/>
        <v>#REF!</v>
      </c>
      <c r="H430" s="96" t="e">
        <f>gog!#REF!</f>
        <v>#REF!</v>
      </c>
      <c r="I430" s="100"/>
    </row>
    <row r="431" spans="1:9" ht="16.5">
      <c r="A431" s="275"/>
      <c r="B431" s="18" t="s">
        <v>91</v>
      </c>
      <c r="C431" s="34" t="s">
        <v>2334</v>
      </c>
      <c r="D431" s="98" t="e">
        <f t="shared" si="25"/>
        <v>#REF!</v>
      </c>
      <c r="E431" s="96" t="e">
        <f>gog!#REF!</f>
        <v>#REF!</v>
      </c>
      <c r="F431" s="100"/>
      <c r="G431" s="98" t="e">
        <f t="shared" si="26"/>
        <v>#REF!</v>
      </c>
      <c r="H431" s="96" t="e">
        <f>gog!#REF!</f>
        <v>#REF!</v>
      </c>
      <c r="I431" s="100"/>
    </row>
    <row r="432" spans="1:9" ht="16.5">
      <c r="A432" s="275"/>
      <c r="B432" s="19" t="s">
        <v>95</v>
      </c>
      <c r="C432" s="34" t="s">
        <v>2335</v>
      </c>
      <c r="D432" s="98" t="e">
        <f t="shared" si="25"/>
        <v>#REF!</v>
      </c>
      <c r="E432" s="96" t="e">
        <f>gog!#REF!</f>
        <v>#REF!</v>
      </c>
      <c r="F432" s="100"/>
      <c r="G432" s="98" t="e">
        <f t="shared" si="26"/>
        <v>#REF!</v>
      </c>
      <c r="H432" s="96" t="e">
        <f>gog!#REF!</f>
        <v>#REF!</v>
      </c>
      <c r="I432" s="100"/>
    </row>
    <row r="433" spans="1:9" ht="16.5">
      <c r="A433" s="275"/>
      <c r="B433" s="19" t="s">
        <v>97</v>
      </c>
      <c r="C433" s="34" t="s">
        <v>2336</v>
      </c>
      <c r="D433" s="98" t="e">
        <f t="shared" si="25"/>
        <v>#REF!</v>
      </c>
      <c r="E433" s="96" t="e">
        <f>gog!#REF!</f>
        <v>#REF!</v>
      </c>
      <c r="F433" s="100"/>
      <c r="G433" s="98" t="e">
        <f t="shared" si="26"/>
        <v>#REF!</v>
      </c>
      <c r="H433" s="96" t="e">
        <f>gog!#REF!</f>
        <v>#REF!</v>
      </c>
      <c r="I433" s="100"/>
    </row>
    <row r="434" spans="1:9" ht="17.25" thickBot="1">
      <c r="A434" s="295"/>
      <c r="B434" s="19" t="s">
        <v>100</v>
      </c>
      <c r="C434" s="36" t="s">
        <v>2337</v>
      </c>
      <c r="D434" s="149" t="e">
        <f t="shared" si="25"/>
        <v>#REF!</v>
      </c>
      <c r="E434" s="96" t="e">
        <f>gog!#REF!</f>
        <v>#REF!</v>
      </c>
      <c r="F434" s="103"/>
      <c r="G434" s="149" t="e">
        <f t="shared" si="26"/>
        <v>#REF!</v>
      </c>
      <c r="H434" s="96" t="e">
        <f>gog!#REF!</f>
        <v>#REF!</v>
      </c>
      <c r="I434" s="103"/>
    </row>
    <row r="435" spans="1:9" ht="63.75" thickBot="1">
      <c r="A435" s="48">
        <v>281</v>
      </c>
      <c r="B435" s="282" t="s">
        <v>311</v>
      </c>
      <c r="C435" s="181" t="s">
        <v>2338</v>
      </c>
      <c r="D435" s="150">
        <f t="shared" si="23"/>
        <v>6943809.5099999998</v>
      </c>
      <c r="E435" s="105">
        <f>SUM(E436:E447)</f>
        <v>6943809.5099999998</v>
      </c>
      <c r="F435" s="106">
        <f>SUM(F436:F447)</f>
        <v>0</v>
      </c>
      <c r="G435" s="150">
        <f t="shared" si="24"/>
        <v>6936846.7400000002</v>
      </c>
      <c r="H435" s="105">
        <f>SUM(H436:H447)</f>
        <v>6936846.7400000002</v>
      </c>
      <c r="I435" s="106">
        <f>SUM(I436:I447)</f>
        <v>0</v>
      </c>
    </row>
    <row r="436" spans="1:9" ht="16.5">
      <c r="A436" s="290">
        <v>282</v>
      </c>
      <c r="B436" s="17" t="s">
        <v>77</v>
      </c>
      <c r="C436" s="34" t="s">
        <v>2339</v>
      </c>
      <c r="D436" s="113">
        <f t="shared" si="23"/>
        <v>5052100</v>
      </c>
      <c r="E436" s="96">
        <f>gog!D778</f>
        <v>5052100</v>
      </c>
      <c r="F436" s="97"/>
      <c r="G436" s="113">
        <f t="shared" si="24"/>
        <v>5052100</v>
      </c>
      <c r="H436" s="96">
        <f>gog!G778</f>
        <v>5052100</v>
      </c>
      <c r="I436" s="132"/>
    </row>
    <row r="437" spans="1:9" ht="16.5">
      <c r="A437" s="275">
        <v>283</v>
      </c>
      <c r="B437" s="18" t="s">
        <v>79</v>
      </c>
      <c r="C437" s="31" t="s">
        <v>1861</v>
      </c>
      <c r="D437" s="98">
        <f t="shared" si="23"/>
        <v>16430</v>
      </c>
      <c r="E437" s="96">
        <f>gog!D779</f>
        <v>16430</v>
      </c>
      <c r="F437" s="100"/>
      <c r="G437" s="98">
        <f t="shared" si="24"/>
        <v>16430</v>
      </c>
      <c r="H437" s="96">
        <f>gog!G779</f>
        <v>16430</v>
      </c>
      <c r="I437" s="133"/>
    </row>
    <row r="438" spans="1:9" ht="16.5">
      <c r="A438" s="275">
        <v>284</v>
      </c>
      <c r="B438" s="18" t="s">
        <v>81</v>
      </c>
      <c r="C438" s="31" t="s">
        <v>1862</v>
      </c>
      <c r="D438" s="98">
        <f t="shared" si="23"/>
        <v>1493849</v>
      </c>
      <c r="E438" s="96">
        <f>gog!D780</f>
        <v>1493849</v>
      </c>
      <c r="F438" s="100"/>
      <c r="G438" s="98">
        <f t="shared" si="24"/>
        <v>1486961.98</v>
      </c>
      <c r="H438" s="96">
        <f>gog!G780</f>
        <v>1486961.98</v>
      </c>
      <c r="I438" s="133"/>
    </row>
    <row r="439" spans="1:9" ht="16.5">
      <c r="A439" s="275">
        <v>285</v>
      </c>
      <c r="B439" s="18" t="s">
        <v>83</v>
      </c>
      <c r="C439" s="31" t="s">
        <v>2143</v>
      </c>
      <c r="D439" s="98">
        <f t="shared" si="23"/>
        <v>4000</v>
      </c>
      <c r="E439" s="96">
        <f>gog!D782</f>
        <v>4000</v>
      </c>
      <c r="F439" s="100"/>
      <c r="G439" s="98">
        <f t="shared" si="24"/>
        <v>3924.25</v>
      </c>
      <c r="H439" s="96">
        <f>gog!G782</f>
        <v>3924.25</v>
      </c>
      <c r="I439" s="133"/>
    </row>
    <row r="440" spans="1:9" ht="16.5">
      <c r="A440" s="275">
        <v>286</v>
      </c>
      <c r="B440" s="18" t="s">
        <v>85</v>
      </c>
      <c r="C440" s="31" t="s">
        <v>2144</v>
      </c>
      <c r="D440" s="98">
        <f t="shared" si="23"/>
        <v>47040</v>
      </c>
      <c r="E440" s="96">
        <f>gog!D783</f>
        <v>47040</v>
      </c>
      <c r="F440" s="100"/>
      <c r="G440" s="98">
        <f t="shared" si="24"/>
        <v>47040</v>
      </c>
      <c r="H440" s="96">
        <f>gog!G783</f>
        <v>47040</v>
      </c>
      <c r="I440" s="133"/>
    </row>
    <row r="441" spans="1:9" ht="16.5">
      <c r="A441" s="275">
        <v>287</v>
      </c>
      <c r="B441" s="18" t="s">
        <v>87</v>
      </c>
      <c r="C441" s="31" t="s">
        <v>2145</v>
      </c>
      <c r="D441" s="98">
        <f t="shared" si="23"/>
        <v>11000</v>
      </c>
      <c r="E441" s="96">
        <f>gog!D784</f>
        <v>11000</v>
      </c>
      <c r="F441" s="100"/>
      <c r="G441" s="98">
        <f t="shared" si="24"/>
        <v>11000</v>
      </c>
      <c r="H441" s="96">
        <f>gog!G784</f>
        <v>11000</v>
      </c>
      <c r="I441" s="133"/>
    </row>
    <row r="442" spans="1:9" ht="16.5">
      <c r="A442" s="275">
        <v>288</v>
      </c>
      <c r="B442" s="18" t="s">
        <v>25</v>
      </c>
      <c r="C442" s="31" t="s">
        <v>2146</v>
      </c>
      <c r="D442" s="98">
        <f t="shared" si="23"/>
        <v>0</v>
      </c>
      <c r="E442" s="96">
        <f>gog!D785</f>
        <v>0</v>
      </c>
      <c r="F442" s="100"/>
      <c r="G442" s="98">
        <f t="shared" si="24"/>
        <v>0</v>
      </c>
      <c r="H442" s="96">
        <f>gog!G785</f>
        <v>0</v>
      </c>
      <c r="I442" s="133"/>
    </row>
    <row r="443" spans="1:9" ht="16.5">
      <c r="A443" s="275">
        <v>289</v>
      </c>
      <c r="B443" s="18" t="s">
        <v>89</v>
      </c>
      <c r="C443" s="31" t="s">
        <v>2147</v>
      </c>
      <c r="D443" s="98">
        <f t="shared" si="23"/>
        <v>1900</v>
      </c>
      <c r="E443" s="96">
        <f>gog!D787</f>
        <v>1900</v>
      </c>
      <c r="F443" s="100"/>
      <c r="G443" s="98">
        <f t="shared" si="24"/>
        <v>1900</v>
      </c>
      <c r="H443" s="96">
        <f>gog!G787</f>
        <v>1900</v>
      </c>
      <c r="I443" s="133"/>
    </row>
    <row r="444" spans="1:9" ht="16.5">
      <c r="A444" s="275">
        <v>290</v>
      </c>
      <c r="B444" s="18" t="s">
        <v>91</v>
      </c>
      <c r="C444" s="31" t="s">
        <v>2148</v>
      </c>
      <c r="D444" s="98">
        <f t="shared" si="23"/>
        <v>114297.47</v>
      </c>
      <c r="E444" s="96">
        <f>gog!D789</f>
        <v>114297.47</v>
      </c>
      <c r="F444" s="100"/>
      <c r="G444" s="98">
        <f t="shared" si="24"/>
        <v>114297.47</v>
      </c>
      <c r="H444" s="96">
        <f>gog!G789</f>
        <v>114297.47</v>
      </c>
      <c r="I444" s="133"/>
    </row>
    <row r="445" spans="1:9" ht="16.5">
      <c r="A445" s="275">
        <v>291</v>
      </c>
      <c r="B445" s="19" t="s">
        <v>95</v>
      </c>
      <c r="C445" s="31" t="s">
        <v>2149</v>
      </c>
      <c r="D445" s="98">
        <f t="shared" si="23"/>
        <v>7227.04</v>
      </c>
      <c r="E445" s="96">
        <f>gog!D790</f>
        <v>7227.04</v>
      </c>
      <c r="F445" s="103"/>
      <c r="G445" s="98">
        <f t="shared" si="24"/>
        <v>7227.04</v>
      </c>
      <c r="H445" s="96">
        <f>gog!G790</f>
        <v>7227.04</v>
      </c>
      <c r="I445" s="134"/>
    </row>
    <row r="446" spans="1:9" ht="16.5">
      <c r="A446" s="275">
        <v>292</v>
      </c>
      <c r="B446" s="19" t="s">
        <v>97</v>
      </c>
      <c r="C446" s="31" t="s">
        <v>2150</v>
      </c>
      <c r="D446" s="98">
        <f t="shared" si="23"/>
        <v>0</v>
      </c>
      <c r="E446" s="96">
        <f>gog!D793</f>
        <v>0</v>
      </c>
      <c r="F446" s="103"/>
      <c r="G446" s="98">
        <f t="shared" si="24"/>
        <v>0</v>
      </c>
      <c r="H446" s="96">
        <f>gog!G793</f>
        <v>0</v>
      </c>
      <c r="I446" s="134"/>
    </row>
    <row r="447" spans="1:9" ht="17.25" thickBot="1">
      <c r="A447" s="295">
        <v>293</v>
      </c>
      <c r="B447" s="19" t="s">
        <v>100</v>
      </c>
      <c r="C447" s="32" t="s">
        <v>2151</v>
      </c>
      <c r="D447" s="113">
        <f t="shared" si="23"/>
        <v>195966</v>
      </c>
      <c r="E447" s="96">
        <f>gog!D795</f>
        <v>195966</v>
      </c>
      <c r="F447" s="103"/>
      <c r="G447" s="113">
        <f t="shared" si="24"/>
        <v>195966</v>
      </c>
      <c r="H447" s="96">
        <f>gog!G795</f>
        <v>195966</v>
      </c>
      <c r="I447" s="134"/>
    </row>
    <row r="448" spans="1:9" ht="32.25" thickBot="1">
      <c r="A448" s="48"/>
      <c r="B448" s="497" t="s">
        <v>629</v>
      </c>
      <c r="C448" s="428" t="s">
        <v>626</v>
      </c>
      <c r="D448" s="150" t="e">
        <f t="shared" si="23"/>
        <v>#REF!</v>
      </c>
      <c r="E448" s="117" t="e">
        <f>SUM(E449:E450)</f>
        <v>#REF!</v>
      </c>
      <c r="F448" s="118">
        <f>SUM(F449:F450)</f>
        <v>0</v>
      </c>
      <c r="G448" s="150" t="e">
        <f t="shared" si="24"/>
        <v>#REF!</v>
      </c>
      <c r="H448" s="117" t="e">
        <f>SUM(H449:H450)</f>
        <v>#REF!</v>
      </c>
      <c r="I448" s="118">
        <f>SUM(I449:I450)</f>
        <v>0</v>
      </c>
    </row>
    <row r="449" spans="1:9" ht="16.5">
      <c r="A449" s="290"/>
      <c r="B449" s="17" t="s">
        <v>91</v>
      </c>
      <c r="C449" s="34" t="s">
        <v>627</v>
      </c>
      <c r="D449" s="151" t="e">
        <f t="shared" si="23"/>
        <v>#REF!</v>
      </c>
      <c r="E449" s="96" t="e">
        <f>gog!#REF!+gog!#REF!+gog!#REF!</f>
        <v>#REF!</v>
      </c>
      <c r="F449" s="97"/>
      <c r="G449" s="151" t="e">
        <f t="shared" si="24"/>
        <v>#REF!</v>
      </c>
      <c r="H449" s="96" t="e">
        <f>gog!#REF!+gog!#REF!+gog!#REF!</f>
        <v>#REF!</v>
      </c>
      <c r="I449" s="97"/>
    </row>
    <row r="450" spans="1:9" ht="17.25" thickBot="1">
      <c r="A450" s="290"/>
      <c r="B450" s="19" t="s">
        <v>100</v>
      </c>
      <c r="C450" s="41" t="s">
        <v>628</v>
      </c>
      <c r="D450" s="113" t="e">
        <f t="shared" si="23"/>
        <v>#REF!</v>
      </c>
      <c r="E450" s="121" t="e">
        <f>gog!#REF!+gog!#REF!+gog!#REF!+gog!#REF!</f>
        <v>#REF!</v>
      </c>
      <c r="F450" s="114"/>
      <c r="G450" s="113" t="e">
        <f t="shared" si="24"/>
        <v>#REF!</v>
      </c>
      <c r="H450" s="121" t="e">
        <f>gog!#REF!+gog!#REF!+gog!#REF!+gog!#REF!</f>
        <v>#REF!</v>
      </c>
      <c r="I450" s="496"/>
    </row>
    <row r="451" spans="1:9" ht="17.25" thickBot="1">
      <c r="A451" s="275">
        <v>294</v>
      </c>
      <c r="B451" s="520" t="s">
        <v>188</v>
      </c>
      <c r="C451" s="519" t="s">
        <v>189</v>
      </c>
      <c r="D451" s="93" t="e">
        <f t="shared" si="23"/>
        <v>#REF!</v>
      </c>
      <c r="E451" s="164" t="e">
        <f>SUM(E452:E464)</f>
        <v>#REF!</v>
      </c>
      <c r="F451" s="164">
        <f>SUM(F452:F464)</f>
        <v>0</v>
      </c>
      <c r="G451" s="93" t="e">
        <f t="shared" si="24"/>
        <v>#REF!</v>
      </c>
      <c r="H451" s="164" t="e">
        <f>SUM(H452:H464)</f>
        <v>#REF!</v>
      </c>
      <c r="I451" s="164">
        <f>SUM(I452:I464)</f>
        <v>0</v>
      </c>
    </row>
    <row r="452" spans="1:9" ht="16.5">
      <c r="A452" s="275">
        <v>295</v>
      </c>
      <c r="B452" s="17" t="s">
        <v>77</v>
      </c>
      <c r="C452" s="34" t="s">
        <v>190</v>
      </c>
      <c r="D452" s="95" t="e">
        <f t="shared" si="23"/>
        <v>#REF!</v>
      </c>
      <c r="E452" s="166" t="e">
        <f>E466+E479+E492+E508+E521+E534+E540</f>
        <v>#REF!</v>
      </c>
      <c r="F452" s="131">
        <f>F466+F479+F492+F508+F521+F534+F540</f>
        <v>0</v>
      </c>
      <c r="G452" s="95" t="e">
        <f t="shared" si="24"/>
        <v>#REF!</v>
      </c>
      <c r="H452" s="166" t="e">
        <f>H466+H479+H492+H508+H521+H534+H540</f>
        <v>#REF!</v>
      </c>
      <c r="I452" s="131">
        <f>I466+I479+I492+I508+I521+I534+I540</f>
        <v>0</v>
      </c>
    </row>
    <row r="453" spans="1:9" ht="16.5">
      <c r="A453" s="275">
        <v>296</v>
      </c>
      <c r="B453" s="18" t="s">
        <v>79</v>
      </c>
      <c r="C453" s="31" t="s">
        <v>191</v>
      </c>
      <c r="D453" s="98" t="e">
        <f t="shared" si="23"/>
        <v>#REF!</v>
      </c>
      <c r="E453" s="167" t="e">
        <f>E467+E480+E493+E509+E522+E541+E556</f>
        <v>#REF!</v>
      </c>
      <c r="F453" s="112">
        <f>F467+F480+F493+F509+F522+F541+F556</f>
        <v>0</v>
      </c>
      <c r="G453" s="98" t="e">
        <f t="shared" si="24"/>
        <v>#REF!</v>
      </c>
      <c r="H453" s="167" t="e">
        <f>H467+H480+H493+H509+H522+H541+H556</f>
        <v>#REF!</v>
      </c>
      <c r="I453" s="112">
        <f>I467+I480+I493+I509+I522+I541+I556</f>
        <v>0</v>
      </c>
    </row>
    <row r="454" spans="1:9" ht="16.5">
      <c r="A454" s="275">
        <v>297</v>
      </c>
      <c r="B454" s="18" t="s">
        <v>81</v>
      </c>
      <c r="C454" s="31" t="s">
        <v>192</v>
      </c>
      <c r="D454" s="98" t="e">
        <f t="shared" si="23"/>
        <v>#REF!</v>
      </c>
      <c r="E454" s="167" t="e">
        <f>E468+E481+E494+E510+E535+E542</f>
        <v>#REF!</v>
      </c>
      <c r="F454" s="112">
        <f>F468+F481+F494+F510+F535+F542</f>
        <v>0</v>
      </c>
      <c r="G454" s="98" t="e">
        <f t="shared" si="24"/>
        <v>#REF!</v>
      </c>
      <c r="H454" s="167" t="e">
        <f>H468+H481+H494+H510+H535+H542</f>
        <v>#REF!</v>
      </c>
      <c r="I454" s="112">
        <f>I468+I481+I494+I510+I535+I542</f>
        <v>0</v>
      </c>
    </row>
    <row r="455" spans="1:9" ht="16.5">
      <c r="A455" s="275">
        <v>298</v>
      </c>
      <c r="B455" s="18" t="s">
        <v>83</v>
      </c>
      <c r="C455" s="31" t="s">
        <v>63</v>
      </c>
      <c r="D455" s="98" t="e">
        <f t="shared" si="23"/>
        <v>#REF!</v>
      </c>
      <c r="E455" s="167" t="e">
        <f>E469+E482+E495+E511+E524+E543</f>
        <v>#REF!</v>
      </c>
      <c r="F455" s="112">
        <f>F469+F482+F495+F511+F524+F543</f>
        <v>0</v>
      </c>
      <c r="G455" s="98" t="e">
        <f t="shared" si="24"/>
        <v>#REF!</v>
      </c>
      <c r="H455" s="167" t="e">
        <f>H469+H482+H495+H511+H524+H543</f>
        <v>#REF!</v>
      </c>
      <c r="I455" s="112">
        <f>I469+I482+I495+I511+I524+I543</f>
        <v>0</v>
      </c>
    </row>
    <row r="456" spans="1:9" ht="16.5">
      <c r="A456" s="275">
        <v>299</v>
      </c>
      <c r="B456" s="18" t="s">
        <v>85</v>
      </c>
      <c r="C456" s="31" t="s">
        <v>64</v>
      </c>
      <c r="D456" s="98" t="e">
        <f t="shared" si="23"/>
        <v>#REF!</v>
      </c>
      <c r="E456" s="167" t="e">
        <f>E470+E483+E496+E512+E544</f>
        <v>#REF!</v>
      </c>
      <c r="F456" s="112">
        <f>F470+F483+F496+F512+F544</f>
        <v>0</v>
      </c>
      <c r="G456" s="98" t="e">
        <f t="shared" si="24"/>
        <v>#REF!</v>
      </c>
      <c r="H456" s="167" t="e">
        <f>H470+H483+H496+H512+H544</f>
        <v>#REF!</v>
      </c>
      <c r="I456" s="112">
        <f>I470+I483+I496+I512+I544</f>
        <v>0</v>
      </c>
    </row>
    <row r="457" spans="1:9" ht="16.5">
      <c r="A457" s="275">
        <v>300</v>
      </c>
      <c r="B457" s="18" t="s">
        <v>87</v>
      </c>
      <c r="C457" s="31" t="s">
        <v>193</v>
      </c>
      <c r="D457" s="98" t="e">
        <f t="shared" si="23"/>
        <v>#REF!</v>
      </c>
      <c r="E457" s="167" t="e">
        <f t="shared" ref="E457:F460" si="27">E471+E484+E497+E513+E526+E545</f>
        <v>#REF!</v>
      </c>
      <c r="F457" s="112">
        <f t="shared" si="27"/>
        <v>0</v>
      </c>
      <c r="G457" s="98" t="e">
        <f t="shared" si="24"/>
        <v>#REF!</v>
      </c>
      <c r="H457" s="167" t="e">
        <f t="shared" ref="H457:I460" si="28">H471+H484+H497+H513+H526+H545</f>
        <v>#REF!</v>
      </c>
      <c r="I457" s="112">
        <f t="shared" si="28"/>
        <v>0</v>
      </c>
    </row>
    <row r="458" spans="1:9" ht="16.5">
      <c r="A458" s="275">
        <v>301</v>
      </c>
      <c r="B458" s="18" t="s">
        <v>25</v>
      </c>
      <c r="C458" s="31" t="s">
        <v>42</v>
      </c>
      <c r="D458" s="98" t="e">
        <f t="shared" si="23"/>
        <v>#REF!</v>
      </c>
      <c r="E458" s="167" t="e">
        <f t="shared" si="27"/>
        <v>#REF!</v>
      </c>
      <c r="F458" s="112">
        <f t="shared" si="27"/>
        <v>0</v>
      </c>
      <c r="G458" s="98" t="e">
        <f t="shared" si="24"/>
        <v>#REF!</v>
      </c>
      <c r="H458" s="167" t="e">
        <f t="shared" si="28"/>
        <v>#REF!</v>
      </c>
      <c r="I458" s="112">
        <f t="shared" si="28"/>
        <v>0</v>
      </c>
    </row>
    <row r="459" spans="1:9" ht="16.5">
      <c r="A459" s="275">
        <v>302</v>
      </c>
      <c r="B459" s="18" t="s">
        <v>89</v>
      </c>
      <c r="C459" s="31" t="s">
        <v>65</v>
      </c>
      <c r="D459" s="98" t="e">
        <f t="shared" si="23"/>
        <v>#REF!</v>
      </c>
      <c r="E459" s="167" t="e">
        <f t="shared" si="27"/>
        <v>#REF!</v>
      </c>
      <c r="F459" s="112">
        <f t="shared" si="27"/>
        <v>0</v>
      </c>
      <c r="G459" s="98" t="e">
        <f t="shared" si="24"/>
        <v>#REF!</v>
      </c>
      <c r="H459" s="167" t="e">
        <f t="shared" si="28"/>
        <v>#REF!</v>
      </c>
      <c r="I459" s="112">
        <f t="shared" si="28"/>
        <v>0</v>
      </c>
    </row>
    <row r="460" spans="1:9" ht="16.5">
      <c r="A460" s="275">
        <v>303</v>
      </c>
      <c r="B460" s="18" t="s">
        <v>91</v>
      </c>
      <c r="C460" s="31" t="s">
        <v>194</v>
      </c>
      <c r="D460" s="98" t="e">
        <f t="shared" si="23"/>
        <v>#REF!</v>
      </c>
      <c r="E460" s="167" t="e">
        <f t="shared" si="27"/>
        <v>#REF!</v>
      </c>
      <c r="F460" s="112">
        <f t="shared" si="27"/>
        <v>0</v>
      </c>
      <c r="G460" s="98" t="e">
        <f t="shared" si="24"/>
        <v>#REF!</v>
      </c>
      <c r="H460" s="167" t="e">
        <f t="shared" si="28"/>
        <v>#REF!</v>
      </c>
      <c r="I460" s="112">
        <f t="shared" si="28"/>
        <v>0</v>
      </c>
    </row>
    <row r="461" spans="1:9" ht="16.5">
      <c r="A461" s="275">
        <v>304</v>
      </c>
      <c r="B461" s="278" t="s">
        <v>201</v>
      </c>
      <c r="C461" s="31" t="s">
        <v>1659</v>
      </c>
      <c r="D461" s="98" t="e">
        <f t="shared" si="23"/>
        <v>#REF!</v>
      </c>
      <c r="E461" s="167" t="e">
        <f>E549+E557</f>
        <v>#REF!</v>
      </c>
      <c r="F461" s="112">
        <f>F549+F557</f>
        <v>0</v>
      </c>
      <c r="G461" s="98" t="e">
        <f t="shared" si="24"/>
        <v>#REF!</v>
      </c>
      <c r="H461" s="167" t="e">
        <f>H549+H557</f>
        <v>#REF!</v>
      </c>
      <c r="I461" s="112">
        <f>I549+I557</f>
        <v>0</v>
      </c>
    </row>
    <row r="462" spans="1:9" ht="16.5">
      <c r="A462" s="275">
        <v>305</v>
      </c>
      <c r="B462" s="18" t="s">
        <v>95</v>
      </c>
      <c r="C462" s="31" t="s">
        <v>43</v>
      </c>
      <c r="D462" s="98" t="e">
        <f t="shared" si="23"/>
        <v>#REF!</v>
      </c>
      <c r="E462" s="167" t="e">
        <f>E475+E488+E501+E517+E530+E550</f>
        <v>#REF!</v>
      </c>
      <c r="F462" s="112">
        <f>F475+F488+F501+F517+F530+F550</f>
        <v>0</v>
      </c>
      <c r="G462" s="98" t="e">
        <f t="shared" si="24"/>
        <v>#REF!</v>
      </c>
      <c r="H462" s="167" t="e">
        <f>H475+H488+H501+H517+H530+H550</f>
        <v>#REF!</v>
      </c>
      <c r="I462" s="112">
        <f>I475+I488+I501+I517+I530+I550</f>
        <v>0</v>
      </c>
    </row>
    <row r="463" spans="1:9" ht="16.5">
      <c r="A463" s="275">
        <v>306</v>
      </c>
      <c r="B463" s="19" t="s">
        <v>97</v>
      </c>
      <c r="C463" s="32" t="s">
        <v>70</v>
      </c>
      <c r="D463" s="98" t="e">
        <f t="shared" si="23"/>
        <v>#REF!</v>
      </c>
      <c r="E463" s="167" t="e">
        <f>E476+E489+E502+E518+E531+E551+E554</f>
        <v>#REF!</v>
      </c>
      <c r="F463" s="112">
        <f>F476+F489+F502+F518+F531+F551+F554</f>
        <v>0</v>
      </c>
      <c r="G463" s="98" t="e">
        <f t="shared" si="24"/>
        <v>#REF!</v>
      </c>
      <c r="H463" s="167" t="e">
        <f>H476+H489+H502+H518+H531+H551+H554</f>
        <v>#REF!</v>
      </c>
      <c r="I463" s="112">
        <f>I476+I489+I502+I518+I531+I551+I554</f>
        <v>0</v>
      </c>
    </row>
    <row r="464" spans="1:9" ht="17.25" thickBot="1">
      <c r="A464" s="275">
        <v>307</v>
      </c>
      <c r="B464" s="19" t="s">
        <v>100</v>
      </c>
      <c r="C464" s="32" t="s">
        <v>195</v>
      </c>
      <c r="D464" s="101" t="e">
        <f t="shared" si="23"/>
        <v>#REF!</v>
      </c>
      <c r="E464" s="166" t="e">
        <f>E477+E490+E503+E519+E532+E538+E552+E558+E593</f>
        <v>#REF!</v>
      </c>
      <c r="F464" s="131">
        <f>F477+F490+F503+F519+F532+F538+F552+F558+F593</f>
        <v>0</v>
      </c>
      <c r="G464" s="101" t="e">
        <f t="shared" si="24"/>
        <v>#REF!</v>
      </c>
      <c r="H464" s="166" t="e">
        <f>H477+H490+H503+H519+H532+H538+H552+H558+H593</f>
        <v>#REF!</v>
      </c>
      <c r="I464" s="131">
        <f>I477+I490+I503+I519+I532+I538+I552+I558+I593</f>
        <v>0</v>
      </c>
    </row>
    <row r="465" spans="1:9" ht="17.25" thickBot="1">
      <c r="A465" s="275">
        <v>308</v>
      </c>
      <c r="B465" s="509" t="s">
        <v>2035</v>
      </c>
      <c r="C465" s="500" t="s">
        <v>1863</v>
      </c>
      <c r="D465" s="104" t="e">
        <f t="shared" si="23"/>
        <v>#REF!</v>
      </c>
      <c r="E465" s="105" t="e">
        <f>SUM(E466:E477)</f>
        <v>#REF!</v>
      </c>
      <c r="F465" s="106">
        <f>SUM(F466:F477)</f>
        <v>0</v>
      </c>
      <c r="G465" s="104" t="e">
        <f t="shared" si="24"/>
        <v>#REF!</v>
      </c>
      <c r="H465" s="107" t="e">
        <f>SUM(H466:H477)</f>
        <v>#REF!</v>
      </c>
      <c r="I465" s="498">
        <f>SUM(I466:I477)</f>
        <v>0</v>
      </c>
    </row>
    <row r="466" spans="1:9" ht="16.5">
      <c r="A466" s="275">
        <v>309</v>
      </c>
      <c r="B466" s="17" t="s">
        <v>77</v>
      </c>
      <c r="C466" s="34" t="s">
        <v>1864</v>
      </c>
      <c r="D466" s="95" t="e">
        <f t="shared" si="23"/>
        <v>#REF!</v>
      </c>
      <c r="E466" s="96" t="e">
        <f>gog!#REF!</f>
        <v>#REF!</v>
      </c>
      <c r="F466" s="97"/>
      <c r="G466" s="95" t="e">
        <f t="shared" si="24"/>
        <v>#REF!</v>
      </c>
      <c r="H466" s="96" t="e">
        <f>gog!#REF!</f>
        <v>#REF!</v>
      </c>
      <c r="I466" s="132"/>
    </row>
    <row r="467" spans="1:9" ht="16.5">
      <c r="A467" s="275">
        <v>310</v>
      </c>
      <c r="B467" s="18" t="s">
        <v>79</v>
      </c>
      <c r="C467" s="34" t="s">
        <v>1865</v>
      </c>
      <c r="D467" s="98" t="e">
        <f t="shared" si="23"/>
        <v>#REF!</v>
      </c>
      <c r="E467" s="96" t="e">
        <f>gog!#REF!</f>
        <v>#REF!</v>
      </c>
      <c r="F467" s="100"/>
      <c r="G467" s="98" t="e">
        <f t="shared" si="24"/>
        <v>#REF!</v>
      </c>
      <c r="H467" s="96" t="e">
        <f>gog!#REF!</f>
        <v>#REF!</v>
      </c>
      <c r="I467" s="133"/>
    </row>
    <row r="468" spans="1:9" ht="16.5">
      <c r="A468" s="275">
        <v>311</v>
      </c>
      <c r="B468" s="18" t="s">
        <v>81</v>
      </c>
      <c r="C468" s="34" t="s">
        <v>1866</v>
      </c>
      <c r="D468" s="98" t="e">
        <f t="shared" si="23"/>
        <v>#REF!</v>
      </c>
      <c r="E468" s="96" t="e">
        <f>gog!#REF!</f>
        <v>#REF!</v>
      </c>
      <c r="F468" s="100"/>
      <c r="G468" s="98" t="e">
        <f t="shared" si="24"/>
        <v>#REF!</v>
      </c>
      <c r="H468" s="96" t="e">
        <f>gog!#REF!</f>
        <v>#REF!</v>
      </c>
      <c r="I468" s="133"/>
    </row>
    <row r="469" spans="1:9" ht="16.5">
      <c r="A469" s="275">
        <v>312</v>
      </c>
      <c r="B469" s="18" t="s">
        <v>83</v>
      </c>
      <c r="C469" s="34" t="s">
        <v>1867</v>
      </c>
      <c r="D469" s="98" t="e">
        <f t="shared" si="23"/>
        <v>#REF!</v>
      </c>
      <c r="E469" s="96" t="e">
        <f>gog!#REF!</f>
        <v>#REF!</v>
      </c>
      <c r="F469" s="100"/>
      <c r="G469" s="98" t="e">
        <f t="shared" si="24"/>
        <v>#REF!</v>
      </c>
      <c r="H469" s="96" t="e">
        <f>gog!#REF!</f>
        <v>#REF!</v>
      </c>
      <c r="I469" s="133"/>
    </row>
    <row r="470" spans="1:9" ht="16.5">
      <c r="A470" s="275">
        <v>313</v>
      </c>
      <c r="B470" s="18" t="s">
        <v>85</v>
      </c>
      <c r="C470" s="34" t="s">
        <v>1868</v>
      </c>
      <c r="D470" s="98" t="e">
        <f t="shared" si="23"/>
        <v>#REF!</v>
      </c>
      <c r="E470" s="96" t="e">
        <f>gog!#REF!</f>
        <v>#REF!</v>
      </c>
      <c r="F470" s="100"/>
      <c r="G470" s="98" t="e">
        <f t="shared" si="24"/>
        <v>#REF!</v>
      </c>
      <c r="H470" s="96" t="e">
        <f>gog!#REF!</f>
        <v>#REF!</v>
      </c>
      <c r="I470" s="133"/>
    </row>
    <row r="471" spans="1:9" ht="16.5">
      <c r="A471" s="275">
        <v>314</v>
      </c>
      <c r="B471" s="18" t="s">
        <v>87</v>
      </c>
      <c r="C471" s="34" t="s">
        <v>1869</v>
      </c>
      <c r="D471" s="98" t="e">
        <f t="shared" si="23"/>
        <v>#REF!</v>
      </c>
      <c r="E471" s="96" t="e">
        <f>gog!#REF!</f>
        <v>#REF!</v>
      </c>
      <c r="F471" s="100"/>
      <c r="G471" s="98" t="e">
        <f t="shared" si="24"/>
        <v>#REF!</v>
      </c>
      <c r="H471" s="96" t="e">
        <f>gog!#REF!</f>
        <v>#REF!</v>
      </c>
      <c r="I471" s="133"/>
    </row>
    <row r="472" spans="1:9" ht="16.5">
      <c r="A472" s="275">
        <v>315</v>
      </c>
      <c r="B472" s="18" t="s">
        <v>25</v>
      </c>
      <c r="C472" s="34" t="s">
        <v>1870</v>
      </c>
      <c r="D472" s="98" t="e">
        <f t="shared" si="23"/>
        <v>#REF!</v>
      </c>
      <c r="E472" s="96" t="e">
        <f>gog!#REF!</f>
        <v>#REF!</v>
      </c>
      <c r="F472" s="100"/>
      <c r="G472" s="98" t="e">
        <f t="shared" si="24"/>
        <v>#REF!</v>
      </c>
      <c r="H472" s="96" t="e">
        <f>gog!#REF!</f>
        <v>#REF!</v>
      </c>
      <c r="I472" s="133"/>
    </row>
    <row r="473" spans="1:9" ht="16.5">
      <c r="A473" s="275">
        <v>316</v>
      </c>
      <c r="B473" s="18" t="s">
        <v>89</v>
      </c>
      <c r="C473" s="34" t="s">
        <v>1871</v>
      </c>
      <c r="D473" s="98" t="e">
        <f t="shared" si="23"/>
        <v>#REF!</v>
      </c>
      <c r="E473" s="96" t="e">
        <f>gog!#REF!</f>
        <v>#REF!</v>
      </c>
      <c r="F473" s="100"/>
      <c r="G473" s="98" t="e">
        <f t="shared" si="24"/>
        <v>#REF!</v>
      </c>
      <c r="H473" s="96" t="e">
        <f>gog!#REF!</f>
        <v>#REF!</v>
      </c>
      <c r="I473" s="133"/>
    </row>
    <row r="474" spans="1:9" ht="16.5">
      <c r="A474" s="275">
        <v>317</v>
      </c>
      <c r="B474" s="18" t="s">
        <v>91</v>
      </c>
      <c r="C474" s="34" t="s">
        <v>1872</v>
      </c>
      <c r="D474" s="98" t="e">
        <f t="shared" si="23"/>
        <v>#REF!</v>
      </c>
      <c r="E474" s="96" t="e">
        <f>gog!#REF!</f>
        <v>#REF!</v>
      </c>
      <c r="F474" s="100"/>
      <c r="G474" s="98" t="e">
        <f t="shared" si="24"/>
        <v>#REF!</v>
      </c>
      <c r="H474" s="96" t="e">
        <f>gog!#REF!</f>
        <v>#REF!</v>
      </c>
      <c r="I474" s="133"/>
    </row>
    <row r="475" spans="1:9" ht="16.5">
      <c r="A475" s="275">
        <v>318</v>
      </c>
      <c r="B475" s="18" t="s">
        <v>95</v>
      </c>
      <c r="C475" s="34" t="s">
        <v>1873</v>
      </c>
      <c r="D475" s="98" t="e">
        <f t="shared" si="23"/>
        <v>#REF!</v>
      </c>
      <c r="E475" s="96" t="e">
        <f>gog!#REF!</f>
        <v>#REF!</v>
      </c>
      <c r="F475" s="100"/>
      <c r="G475" s="98" t="e">
        <f t="shared" si="24"/>
        <v>#REF!</v>
      </c>
      <c r="H475" s="96" t="e">
        <f>gog!#REF!</f>
        <v>#REF!</v>
      </c>
      <c r="I475" s="133"/>
    </row>
    <row r="476" spans="1:9" ht="16.5">
      <c r="A476" s="275">
        <v>319</v>
      </c>
      <c r="B476" s="19" t="s">
        <v>97</v>
      </c>
      <c r="C476" s="34" t="s">
        <v>1874</v>
      </c>
      <c r="D476" s="98" t="e">
        <f t="shared" si="23"/>
        <v>#REF!</v>
      </c>
      <c r="E476" s="96" t="e">
        <f>gog!#REF!</f>
        <v>#REF!</v>
      </c>
      <c r="F476" s="103"/>
      <c r="G476" s="98" t="e">
        <f t="shared" si="24"/>
        <v>#REF!</v>
      </c>
      <c r="H476" s="96" t="e">
        <f>gog!#REF!</f>
        <v>#REF!</v>
      </c>
      <c r="I476" s="134"/>
    </row>
    <row r="477" spans="1:9" ht="17.25" thickBot="1">
      <c r="A477" s="275">
        <v>320</v>
      </c>
      <c r="B477" s="19" t="s">
        <v>100</v>
      </c>
      <c r="C477" s="34" t="s">
        <v>1875</v>
      </c>
      <c r="D477" s="101" t="e">
        <f t="shared" si="23"/>
        <v>#REF!</v>
      </c>
      <c r="E477" s="96" t="e">
        <f>gog!#REF!</f>
        <v>#REF!</v>
      </c>
      <c r="F477" s="103"/>
      <c r="G477" s="101" t="e">
        <f t="shared" si="24"/>
        <v>#REF!</v>
      </c>
      <c r="H477" s="96" t="e">
        <f>gog!#REF!</f>
        <v>#REF!</v>
      </c>
      <c r="I477" s="134"/>
    </row>
    <row r="478" spans="1:9" ht="17.25" thickBot="1">
      <c r="A478" s="275"/>
      <c r="B478" s="497" t="s">
        <v>2036</v>
      </c>
      <c r="C478" s="500" t="s">
        <v>1876</v>
      </c>
      <c r="D478" s="104" t="e">
        <f t="shared" si="23"/>
        <v>#REF!</v>
      </c>
      <c r="E478" s="105" t="e">
        <f>SUM(E479:E490)</f>
        <v>#REF!</v>
      </c>
      <c r="F478" s="106">
        <f>SUM(F479:F490)</f>
        <v>0</v>
      </c>
      <c r="G478" s="104" t="e">
        <f t="shared" si="24"/>
        <v>#REF!</v>
      </c>
      <c r="H478" s="107" t="e">
        <f>SUM(H479:H490)</f>
        <v>#REF!</v>
      </c>
      <c r="I478" s="498">
        <f>SUM(I479:I490)</f>
        <v>0</v>
      </c>
    </row>
    <row r="479" spans="1:9" ht="16.5">
      <c r="A479" s="275"/>
      <c r="B479" s="17" t="s">
        <v>77</v>
      </c>
      <c r="C479" s="34" t="s">
        <v>1877</v>
      </c>
      <c r="D479" s="95" t="e">
        <f t="shared" si="23"/>
        <v>#REF!</v>
      </c>
      <c r="E479" s="96" t="e">
        <f>gog!#REF!</f>
        <v>#REF!</v>
      </c>
      <c r="F479" s="97"/>
      <c r="G479" s="95" t="e">
        <f t="shared" si="24"/>
        <v>#REF!</v>
      </c>
      <c r="H479" s="109" t="e">
        <f>gog!#REF!</f>
        <v>#REF!</v>
      </c>
      <c r="I479" s="132"/>
    </row>
    <row r="480" spans="1:9" ht="16.5">
      <c r="A480" s="275"/>
      <c r="B480" s="18" t="s">
        <v>79</v>
      </c>
      <c r="C480" s="34" t="s">
        <v>1878</v>
      </c>
      <c r="D480" s="98" t="e">
        <f t="shared" si="23"/>
        <v>#REF!</v>
      </c>
      <c r="E480" s="96" t="e">
        <f>gog!#REF!</f>
        <v>#REF!</v>
      </c>
      <c r="F480" s="100"/>
      <c r="G480" s="98" t="e">
        <f t="shared" si="24"/>
        <v>#REF!</v>
      </c>
      <c r="H480" s="109" t="e">
        <f>gog!#REF!</f>
        <v>#REF!</v>
      </c>
      <c r="I480" s="133"/>
    </row>
    <row r="481" spans="1:9" ht="16.5">
      <c r="A481" s="275"/>
      <c r="B481" s="18" t="s">
        <v>81</v>
      </c>
      <c r="C481" s="34" t="s">
        <v>1879</v>
      </c>
      <c r="D481" s="98" t="e">
        <f t="shared" si="23"/>
        <v>#REF!</v>
      </c>
      <c r="E481" s="96" t="e">
        <f>gog!#REF!</f>
        <v>#REF!</v>
      </c>
      <c r="F481" s="100"/>
      <c r="G481" s="98" t="e">
        <f t="shared" si="24"/>
        <v>#REF!</v>
      </c>
      <c r="H481" s="109" t="e">
        <f>gog!#REF!</f>
        <v>#REF!</v>
      </c>
      <c r="I481" s="133"/>
    </row>
    <row r="482" spans="1:9" ht="16.5">
      <c r="A482" s="275"/>
      <c r="B482" s="18" t="s">
        <v>83</v>
      </c>
      <c r="C482" s="34" t="s">
        <v>1880</v>
      </c>
      <c r="D482" s="98" t="e">
        <f t="shared" si="23"/>
        <v>#REF!</v>
      </c>
      <c r="E482" s="96" t="e">
        <f>gog!#REF!</f>
        <v>#REF!</v>
      </c>
      <c r="F482" s="100"/>
      <c r="G482" s="98" t="e">
        <f t="shared" si="24"/>
        <v>#REF!</v>
      </c>
      <c r="H482" s="109" t="e">
        <f>gog!#REF!</f>
        <v>#REF!</v>
      </c>
      <c r="I482" s="133"/>
    </row>
    <row r="483" spans="1:9" ht="16.5">
      <c r="A483" s="275"/>
      <c r="B483" s="18" t="s">
        <v>85</v>
      </c>
      <c r="C483" s="34" t="s">
        <v>1881</v>
      </c>
      <c r="D483" s="98" t="e">
        <f t="shared" si="23"/>
        <v>#REF!</v>
      </c>
      <c r="E483" s="96" t="e">
        <f>gog!#REF!</f>
        <v>#REF!</v>
      </c>
      <c r="F483" s="100"/>
      <c r="G483" s="98" t="e">
        <f t="shared" si="24"/>
        <v>#REF!</v>
      </c>
      <c r="H483" s="109" t="e">
        <f>gog!#REF!</f>
        <v>#REF!</v>
      </c>
      <c r="I483" s="133"/>
    </row>
    <row r="484" spans="1:9" ht="16.5">
      <c r="A484" s="275"/>
      <c r="B484" s="18" t="s">
        <v>87</v>
      </c>
      <c r="C484" s="34" t="s">
        <v>1882</v>
      </c>
      <c r="D484" s="98" t="e">
        <f t="shared" si="23"/>
        <v>#REF!</v>
      </c>
      <c r="E484" s="96" t="e">
        <f>gog!#REF!</f>
        <v>#REF!</v>
      </c>
      <c r="F484" s="100"/>
      <c r="G484" s="98" t="e">
        <f t="shared" si="24"/>
        <v>#REF!</v>
      </c>
      <c r="H484" s="109" t="e">
        <f>gog!#REF!</f>
        <v>#REF!</v>
      </c>
      <c r="I484" s="133"/>
    </row>
    <row r="485" spans="1:9" ht="16.5">
      <c r="A485" s="275"/>
      <c r="B485" s="18" t="s">
        <v>25</v>
      </c>
      <c r="C485" s="34" t="s">
        <v>1883</v>
      </c>
      <c r="D485" s="98" t="e">
        <f t="shared" si="23"/>
        <v>#REF!</v>
      </c>
      <c r="E485" s="96" t="e">
        <f>gog!#REF!</f>
        <v>#REF!</v>
      </c>
      <c r="F485" s="100"/>
      <c r="G485" s="98" t="e">
        <f t="shared" si="24"/>
        <v>#REF!</v>
      </c>
      <c r="H485" s="109" t="e">
        <f>gog!#REF!</f>
        <v>#REF!</v>
      </c>
      <c r="I485" s="133"/>
    </row>
    <row r="486" spans="1:9" ht="16.5">
      <c r="A486" s="275"/>
      <c r="B486" s="18" t="s">
        <v>89</v>
      </c>
      <c r="C486" s="34" t="s">
        <v>1884</v>
      </c>
      <c r="D486" s="98" t="e">
        <f t="shared" si="23"/>
        <v>#REF!</v>
      </c>
      <c r="E486" s="96" t="e">
        <f>gog!#REF!</f>
        <v>#REF!</v>
      </c>
      <c r="F486" s="100"/>
      <c r="G486" s="98" t="e">
        <f t="shared" si="24"/>
        <v>#REF!</v>
      </c>
      <c r="H486" s="109" t="e">
        <f>gog!#REF!</f>
        <v>#REF!</v>
      </c>
      <c r="I486" s="133"/>
    </row>
    <row r="487" spans="1:9" ht="16.5">
      <c r="A487" s="275"/>
      <c r="B487" s="18" t="s">
        <v>91</v>
      </c>
      <c r="C487" s="34" t="s">
        <v>1886</v>
      </c>
      <c r="D487" s="98" t="e">
        <f t="shared" si="23"/>
        <v>#REF!</v>
      </c>
      <c r="E487" s="96" t="e">
        <f>gog!#REF!</f>
        <v>#REF!</v>
      </c>
      <c r="F487" s="100"/>
      <c r="G487" s="98" t="e">
        <f t="shared" si="24"/>
        <v>#REF!</v>
      </c>
      <c r="H487" s="109" t="e">
        <f>gog!#REF!</f>
        <v>#REF!</v>
      </c>
      <c r="I487" s="133"/>
    </row>
    <row r="488" spans="1:9" ht="16.5">
      <c r="A488" s="275"/>
      <c r="B488" s="18" t="s">
        <v>95</v>
      </c>
      <c r="C488" s="34" t="s">
        <v>2426</v>
      </c>
      <c r="D488" s="98" t="e">
        <f t="shared" si="23"/>
        <v>#REF!</v>
      </c>
      <c r="E488" s="96" t="e">
        <f>gog!#REF!</f>
        <v>#REF!</v>
      </c>
      <c r="F488" s="103"/>
      <c r="G488" s="98" t="e">
        <f t="shared" si="24"/>
        <v>#REF!</v>
      </c>
      <c r="H488" s="109" t="e">
        <f>gog!#REF!</f>
        <v>#REF!</v>
      </c>
      <c r="I488" s="134"/>
    </row>
    <row r="489" spans="1:9" ht="16.5">
      <c r="A489" s="275"/>
      <c r="B489" s="19" t="s">
        <v>97</v>
      </c>
      <c r="C489" s="34" t="s">
        <v>2427</v>
      </c>
      <c r="D489" s="98" t="e">
        <f t="shared" si="23"/>
        <v>#REF!</v>
      </c>
      <c r="E489" s="96" t="e">
        <f>gog!#REF!</f>
        <v>#REF!</v>
      </c>
      <c r="F489" s="100"/>
      <c r="G489" s="98" t="e">
        <f t="shared" si="24"/>
        <v>#REF!</v>
      </c>
      <c r="H489" s="109" t="e">
        <f>gog!#REF!</f>
        <v>#REF!</v>
      </c>
      <c r="I489" s="133"/>
    </row>
    <row r="490" spans="1:9" ht="17.25" thickBot="1">
      <c r="A490" s="275"/>
      <c r="B490" s="19" t="s">
        <v>100</v>
      </c>
      <c r="C490" s="34" t="s">
        <v>2428</v>
      </c>
      <c r="D490" s="101" t="e">
        <f t="shared" si="23"/>
        <v>#REF!</v>
      </c>
      <c r="E490" s="96" t="e">
        <f>gog!#REF!</f>
        <v>#REF!</v>
      </c>
      <c r="F490" s="103"/>
      <c r="G490" s="101" t="e">
        <f t="shared" si="24"/>
        <v>#REF!</v>
      </c>
      <c r="H490" s="109" t="e">
        <f>gog!#REF!</f>
        <v>#REF!</v>
      </c>
      <c r="I490" s="103"/>
    </row>
    <row r="491" spans="1:9" ht="17.25" thickBot="1">
      <c r="A491" s="275">
        <v>321</v>
      </c>
      <c r="B491" s="497" t="s">
        <v>2429</v>
      </c>
      <c r="C491" s="500" t="s">
        <v>2430</v>
      </c>
      <c r="D491" s="104" t="e">
        <f t="shared" si="23"/>
        <v>#REF!</v>
      </c>
      <c r="E491" s="105" t="e">
        <f>SUM(E492:E503)</f>
        <v>#REF!</v>
      </c>
      <c r="F491" s="106">
        <f>SUM(F492:F503)</f>
        <v>0</v>
      </c>
      <c r="G491" s="104" t="e">
        <f t="shared" si="24"/>
        <v>#REF!</v>
      </c>
      <c r="H491" s="107" t="e">
        <f>SUM(H492:H503)</f>
        <v>#REF!</v>
      </c>
      <c r="I491" s="498">
        <f>SUM(I492:I503)</f>
        <v>0</v>
      </c>
    </row>
    <row r="492" spans="1:9" ht="16.5">
      <c r="A492" s="275">
        <v>322</v>
      </c>
      <c r="B492" s="17" t="s">
        <v>77</v>
      </c>
      <c r="C492" s="34" t="s">
        <v>2431</v>
      </c>
      <c r="D492" s="95" t="e">
        <f t="shared" si="23"/>
        <v>#REF!</v>
      </c>
      <c r="E492" s="96" t="e">
        <f>gog!#REF!</f>
        <v>#REF!</v>
      </c>
      <c r="F492" s="97"/>
      <c r="G492" s="95" t="e">
        <f t="shared" si="24"/>
        <v>#REF!</v>
      </c>
      <c r="H492" s="109" t="e">
        <f>gog!#REF!</f>
        <v>#REF!</v>
      </c>
      <c r="I492" s="132"/>
    </row>
    <row r="493" spans="1:9" ht="16.5">
      <c r="A493" s="275">
        <v>323</v>
      </c>
      <c r="B493" s="18" t="s">
        <v>79</v>
      </c>
      <c r="C493" s="34" t="s">
        <v>2432</v>
      </c>
      <c r="D493" s="98" t="e">
        <f t="shared" si="23"/>
        <v>#REF!</v>
      </c>
      <c r="E493" s="96" t="e">
        <f>gog!#REF!</f>
        <v>#REF!</v>
      </c>
      <c r="F493" s="100"/>
      <c r="G493" s="98" t="e">
        <f t="shared" si="24"/>
        <v>#REF!</v>
      </c>
      <c r="H493" s="109" t="e">
        <f>gog!#REF!</f>
        <v>#REF!</v>
      </c>
      <c r="I493" s="133"/>
    </row>
    <row r="494" spans="1:9" ht="16.5">
      <c r="A494" s="275">
        <v>324</v>
      </c>
      <c r="B494" s="18" t="s">
        <v>81</v>
      </c>
      <c r="C494" s="34" t="s">
        <v>2433</v>
      </c>
      <c r="D494" s="98" t="e">
        <f t="shared" si="23"/>
        <v>#REF!</v>
      </c>
      <c r="E494" s="96" t="e">
        <f>gog!#REF!</f>
        <v>#REF!</v>
      </c>
      <c r="F494" s="100"/>
      <c r="G494" s="98" t="e">
        <f t="shared" si="24"/>
        <v>#REF!</v>
      </c>
      <c r="H494" s="109" t="e">
        <f>gog!#REF!</f>
        <v>#REF!</v>
      </c>
      <c r="I494" s="133"/>
    </row>
    <row r="495" spans="1:9" ht="16.5">
      <c r="A495" s="275">
        <v>325</v>
      </c>
      <c r="B495" s="18" t="s">
        <v>83</v>
      </c>
      <c r="C495" s="34" t="s">
        <v>2444</v>
      </c>
      <c r="D495" s="98" t="e">
        <f t="shared" si="23"/>
        <v>#REF!</v>
      </c>
      <c r="E495" s="96" t="e">
        <f>gog!#REF!</f>
        <v>#REF!</v>
      </c>
      <c r="F495" s="100"/>
      <c r="G495" s="98" t="e">
        <f t="shared" si="24"/>
        <v>#REF!</v>
      </c>
      <c r="H495" s="109" t="e">
        <f>gog!#REF!</f>
        <v>#REF!</v>
      </c>
      <c r="I495" s="133"/>
    </row>
    <row r="496" spans="1:9" ht="16.5">
      <c r="A496" s="275">
        <v>326</v>
      </c>
      <c r="B496" s="18" t="s">
        <v>85</v>
      </c>
      <c r="C496" s="34" t="s">
        <v>2445</v>
      </c>
      <c r="D496" s="98" t="e">
        <f t="shared" si="23"/>
        <v>#REF!</v>
      </c>
      <c r="E496" s="96" t="e">
        <f>gog!#REF!</f>
        <v>#REF!</v>
      </c>
      <c r="F496" s="100"/>
      <c r="G496" s="98" t="e">
        <f t="shared" si="24"/>
        <v>#REF!</v>
      </c>
      <c r="H496" s="109" t="e">
        <f>gog!#REF!</f>
        <v>#REF!</v>
      </c>
      <c r="I496" s="133"/>
    </row>
    <row r="497" spans="1:9" ht="16.5">
      <c r="A497" s="275">
        <v>327</v>
      </c>
      <c r="B497" s="18" t="s">
        <v>87</v>
      </c>
      <c r="C497" s="34" t="s">
        <v>2446</v>
      </c>
      <c r="D497" s="98" t="e">
        <f t="shared" si="23"/>
        <v>#REF!</v>
      </c>
      <c r="E497" s="96" t="e">
        <f>gog!#REF!</f>
        <v>#REF!</v>
      </c>
      <c r="F497" s="100"/>
      <c r="G497" s="98" t="e">
        <f t="shared" si="24"/>
        <v>#REF!</v>
      </c>
      <c r="H497" s="109" t="e">
        <f>gog!#REF!</f>
        <v>#REF!</v>
      </c>
      <c r="I497" s="133"/>
    </row>
    <row r="498" spans="1:9" ht="16.5">
      <c r="A498" s="275">
        <v>328</v>
      </c>
      <c r="B498" s="18" t="s">
        <v>25</v>
      </c>
      <c r="C498" s="34" t="s">
        <v>1899</v>
      </c>
      <c r="D498" s="98" t="e">
        <f t="shared" si="23"/>
        <v>#REF!</v>
      </c>
      <c r="E498" s="96" t="e">
        <f>gog!#REF!</f>
        <v>#REF!</v>
      </c>
      <c r="F498" s="100"/>
      <c r="G498" s="98" t="e">
        <f t="shared" si="24"/>
        <v>#REF!</v>
      </c>
      <c r="H498" s="109" t="e">
        <f>gog!#REF!</f>
        <v>#REF!</v>
      </c>
      <c r="I498" s="133"/>
    </row>
    <row r="499" spans="1:9" ht="16.5">
      <c r="A499" s="275">
        <v>329</v>
      </c>
      <c r="B499" s="18" t="s">
        <v>89</v>
      </c>
      <c r="C499" s="34" t="s">
        <v>1900</v>
      </c>
      <c r="D499" s="98" t="e">
        <f t="shared" si="23"/>
        <v>#REF!</v>
      </c>
      <c r="E499" s="96" t="e">
        <f>gog!#REF!</f>
        <v>#REF!</v>
      </c>
      <c r="F499" s="100"/>
      <c r="G499" s="98" t="e">
        <f t="shared" si="24"/>
        <v>#REF!</v>
      </c>
      <c r="H499" s="109" t="e">
        <f>gog!#REF!</f>
        <v>#REF!</v>
      </c>
      <c r="I499" s="133"/>
    </row>
    <row r="500" spans="1:9" ht="16.5">
      <c r="A500" s="275">
        <v>330</v>
      </c>
      <c r="B500" s="18" t="s">
        <v>91</v>
      </c>
      <c r="C500" s="34" t="s">
        <v>1901</v>
      </c>
      <c r="D500" s="98" t="e">
        <f t="shared" si="23"/>
        <v>#REF!</v>
      </c>
      <c r="E500" s="96" t="e">
        <f>gog!#REF!</f>
        <v>#REF!</v>
      </c>
      <c r="F500" s="100"/>
      <c r="G500" s="98" t="e">
        <f t="shared" si="24"/>
        <v>#REF!</v>
      </c>
      <c r="H500" s="109" t="e">
        <f>gog!#REF!</f>
        <v>#REF!</v>
      </c>
      <c r="I500" s="133"/>
    </row>
    <row r="501" spans="1:9" ht="16.5">
      <c r="A501" s="275">
        <v>331</v>
      </c>
      <c r="B501" s="18" t="s">
        <v>95</v>
      </c>
      <c r="C501" s="34" t="s">
        <v>1902</v>
      </c>
      <c r="D501" s="98" t="e">
        <f t="shared" si="23"/>
        <v>#REF!</v>
      </c>
      <c r="E501" s="96" t="e">
        <f>gog!#REF!</f>
        <v>#REF!</v>
      </c>
      <c r="F501" s="103"/>
      <c r="G501" s="98" t="e">
        <f t="shared" si="24"/>
        <v>#REF!</v>
      </c>
      <c r="H501" s="109" t="e">
        <f>gog!#REF!</f>
        <v>#REF!</v>
      </c>
      <c r="I501" s="134"/>
    </row>
    <row r="502" spans="1:9" ht="16.5">
      <c r="A502" s="275">
        <v>332</v>
      </c>
      <c r="B502" s="19" t="s">
        <v>97</v>
      </c>
      <c r="C502" s="34" t="s">
        <v>1903</v>
      </c>
      <c r="D502" s="98" t="e">
        <f t="shared" si="23"/>
        <v>#REF!</v>
      </c>
      <c r="E502" s="96" t="e">
        <f>gog!#REF!</f>
        <v>#REF!</v>
      </c>
      <c r="F502" s="100"/>
      <c r="G502" s="98" t="e">
        <f t="shared" si="24"/>
        <v>#REF!</v>
      </c>
      <c r="H502" s="109" t="e">
        <f>gog!#REF!</f>
        <v>#REF!</v>
      </c>
      <c r="I502" s="133"/>
    </row>
    <row r="503" spans="1:9" ht="17.25" thickBot="1">
      <c r="A503" s="275">
        <v>333</v>
      </c>
      <c r="B503" s="19" t="s">
        <v>100</v>
      </c>
      <c r="C503" s="34" t="s">
        <v>1904</v>
      </c>
      <c r="D503" s="101" t="e">
        <f t="shared" si="23"/>
        <v>#REF!</v>
      </c>
      <c r="E503" s="96" t="e">
        <f>gog!#REF!</f>
        <v>#REF!</v>
      </c>
      <c r="F503" s="103"/>
      <c r="G503" s="101" t="e">
        <f t="shared" si="24"/>
        <v>#REF!</v>
      </c>
      <c r="H503" s="109" t="e">
        <f>gog!#REF!</f>
        <v>#REF!</v>
      </c>
      <c r="I503" s="103"/>
    </row>
    <row r="504" spans="1:9" ht="79.5" thickBot="1">
      <c r="A504" s="275"/>
      <c r="B504" s="497" t="s">
        <v>1952</v>
      </c>
      <c r="C504" s="506" t="s">
        <v>1953</v>
      </c>
      <c r="D504" s="104" t="e">
        <f>E504+F504</f>
        <v>#REF!</v>
      </c>
      <c r="E504" s="105" t="e">
        <f>SUM(E505:E506)</f>
        <v>#REF!</v>
      </c>
      <c r="F504" s="106">
        <f>SUM(F505:F506)</f>
        <v>0</v>
      </c>
      <c r="G504" s="104" t="e">
        <f>H504+I504</f>
        <v>#REF!</v>
      </c>
      <c r="H504" s="107" t="e">
        <f>SUM(H505:H506)</f>
        <v>#REF!</v>
      </c>
      <c r="I504" s="498">
        <f>SUM(I505:I506)</f>
        <v>0</v>
      </c>
    </row>
    <row r="505" spans="1:9" ht="16.5">
      <c r="A505" s="275"/>
      <c r="B505" s="17" t="s">
        <v>77</v>
      </c>
      <c r="C505" s="34" t="s">
        <v>1954</v>
      </c>
      <c r="D505" s="95" t="e">
        <f>E505+F505</f>
        <v>#REF!</v>
      </c>
      <c r="E505" s="96" t="e">
        <f>gog!#REF!</f>
        <v>#REF!</v>
      </c>
      <c r="F505" s="97"/>
      <c r="G505" s="95" t="e">
        <f>H505+I505</f>
        <v>#REF!</v>
      </c>
      <c r="H505" s="96" t="e">
        <f>gog!#REF!</f>
        <v>#REF!</v>
      </c>
      <c r="I505" s="97"/>
    </row>
    <row r="506" spans="1:9" ht="17.25" thickBot="1">
      <c r="A506" s="275"/>
      <c r="B506" s="18" t="s">
        <v>81</v>
      </c>
      <c r="C506" s="31" t="s">
        <v>1955</v>
      </c>
      <c r="D506" s="98" t="e">
        <f>E506+F506</f>
        <v>#REF!</v>
      </c>
      <c r="E506" s="99" t="e">
        <f>gog!#REF!</f>
        <v>#REF!</v>
      </c>
      <c r="F506" s="100"/>
      <c r="G506" s="98" t="e">
        <f>H506+I506</f>
        <v>#REF!</v>
      </c>
      <c r="H506" s="99" t="e">
        <f>gog!#REF!</f>
        <v>#REF!</v>
      </c>
      <c r="I506" s="100"/>
    </row>
    <row r="507" spans="1:9" ht="32.25" thickBot="1">
      <c r="A507" s="275">
        <v>334</v>
      </c>
      <c r="B507" s="497" t="s">
        <v>2037</v>
      </c>
      <c r="C507" s="506" t="s">
        <v>1956</v>
      </c>
      <c r="D507" s="104" t="e">
        <f t="shared" si="23"/>
        <v>#REF!</v>
      </c>
      <c r="E507" s="105" t="e">
        <f>SUM(E508:E519)</f>
        <v>#REF!</v>
      </c>
      <c r="F507" s="106">
        <f>SUM(F508:F519)</f>
        <v>0</v>
      </c>
      <c r="G507" s="104" t="e">
        <f t="shared" si="24"/>
        <v>#REF!</v>
      </c>
      <c r="H507" s="107" t="e">
        <f>SUM(H508:H519)</f>
        <v>#REF!</v>
      </c>
      <c r="I507" s="498">
        <f>SUM(I508:I519)</f>
        <v>0</v>
      </c>
    </row>
    <row r="508" spans="1:9" ht="16.5">
      <c r="A508" s="275">
        <v>335</v>
      </c>
      <c r="B508" s="17" t="s">
        <v>77</v>
      </c>
      <c r="C508" s="34" t="s">
        <v>1957</v>
      </c>
      <c r="D508" s="95" t="e">
        <f t="shared" si="23"/>
        <v>#REF!</v>
      </c>
      <c r="E508" s="96" t="e">
        <f>gog!#REF!</f>
        <v>#REF!</v>
      </c>
      <c r="F508" s="97"/>
      <c r="G508" s="95" t="e">
        <f t="shared" si="24"/>
        <v>#REF!</v>
      </c>
      <c r="H508" s="109" t="e">
        <f>gog!#REF!</f>
        <v>#REF!</v>
      </c>
      <c r="I508" s="97"/>
    </row>
    <row r="509" spans="1:9" ht="16.5">
      <c r="A509" s="275">
        <v>336</v>
      </c>
      <c r="B509" s="18" t="s">
        <v>79</v>
      </c>
      <c r="C509" s="34" t="s">
        <v>1958</v>
      </c>
      <c r="D509" s="98" t="e">
        <f t="shared" si="23"/>
        <v>#REF!</v>
      </c>
      <c r="E509" s="96" t="e">
        <f>gog!#REF!</f>
        <v>#REF!</v>
      </c>
      <c r="F509" s="100"/>
      <c r="G509" s="98" t="e">
        <f t="shared" si="24"/>
        <v>#REF!</v>
      </c>
      <c r="H509" s="109" t="e">
        <f>gog!#REF!</f>
        <v>#REF!</v>
      </c>
      <c r="I509" s="100"/>
    </row>
    <row r="510" spans="1:9" ht="16.5">
      <c r="A510" s="275">
        <v>337</v>
      </c>
      <c r="B510" s="18" t="s">
        <v>81</v>
      </c>
      <c r="C510" s="34" t="s">
        <v>1959</v>
      </c>
      <c r="D510" s="98" t="e">
        <f t="shared" si="23"/>
        <v>#REF!</v>
      </c>
      <c r="E510" s="96" t="e">
        <f>gog!#REF!</f>
        <v>#REF!</v>
      </c>
      <c r="F510" s="100"/>
      <c r="G510" s="98" t="e">
        <f t="shared" si="24"/>
        <v>#REF!</v>
      </c>
      <c r="H510" s="109" t="e">
        <f>gog!#REF!</f>
        <v>#REF!</v>
      </c>
      <c r="I510" s="100"/>
    </row>
    <row r="511" spans="1:9" ht="16.5">
      <c r="A511" s="275">
        <v>338</v>
      </c>
      <c r="B511" s="18" t="s">
        <v>83</v>
      </c>
      <c r="C511" s="34" t="s">
        <v>1960</v>
      </c>
      <c r="D511" s="98" t="e">
        <f t="shared" ref="D511:D603" si="29">E511+F511</f>
        <v>#REF!</v>
      </c>
      <c r="E511" s="96" t="e">
        <f>gog!#REF!</f>
        <v>#REF!</v>
      </c>
      <c r="F511" s="100"/>
      <c r="G511" s="98" t="e">
        <f t="shared" ref="G511:G603" si="30">H511+I511</f>
        <v>#REF!</v>
      </c>
      <c r="H511" s="109" t="e">
        <f>gog!#REF!</f>
        <v>#REF!</v>
      </c>
      <c r="I511" s="100"/>
    </row>
    <row r="512" spans="1:9" ht="16.5">
      <c r="A512" s="275">
        <v>339</v>
      </c>
      <c r="B512" s="18" t="s">
        <v>85</v>
      </c>
      <c r="C512" s="34" t="s">
        <v>1961</v>
      </c>
      <c r="D512" s="98" t="e">
        <f t="shared" si="29"/>
        <v>#REF!</v>
      </c>
      <c r="E512" s="96" t="e">
        <f>gog!#REF!</f>
        <v>#REF!</v>
      </c>
      <c r="F512" s="100"/>
      <c r="G512" s="98" t="e">
        <f t="shared" si="30"/>
        <v>#REF!</v>
      </c>
      <c r="H512" s="109" t="e">
        <f>gog!#REF!</f>
        <v>#REF!</v>
      </c>
      <c r="I512" s="100"/>
    </row>
    <row r="513" spans="1:9" ht="16.5">
      <c r="A513" s="275">
        <v>340</v>
      </c>
      <c r="B513" s="18" t="s">
        <v>87</v>
      </c>
      <c r="C513" s="34" t="s">
        <v>1962</v>
      </c>
      <c r="D513" s="98" t="e">
        <f t="shared" si="29"/>
        <v>#REF!</v>
      </c>
      <c r="E513" s="96" t="e">
        <f>gog!#REF!</f>
        <v>#REF!</v>
      </c>
      <c r="F513" s="100"/>
      <c r="G513" s="98" t="e">
        <f t="shared" si="30"/>
        <v>#REF!</v>
      </c>
      <c r="H513" s="109" t="e">
        <f>gog!#REF!</f>
        <v>#REF!</v>
      </c>
      <c r="I513" s="100"/>
    </row>
    <row r="514" spans="1:9" ht="16.5">
      <c r="A514" s="275">
        <v>341</v>
      </c>
      <c r="B514" s="18" t="s">
        <v>25</v>
      </c>
      <c r="C514" s="34" t="s">
        <v>1963</v>
      </c>
      <c r="D514" s="98" t="e">
        <f t="shared" si="29"/>
        <v>#REF!</v>
      </c>
      <c r="E514" s="96" t="e">
        <f>gog!#REF!</f>
        <v>#REF!</v>
      </c>
      <c r="F514" s="100"/>
      <c r="G514" s="98" t="e">
        <f t="shared" si="30"/>
        <v>#REF!</v>
      </c>
      <c r="H514" s="109" t="e">
        <f>gog!#REF!</f>
        <v>#REF!</v>
      </c>
      <c r="I514" s="100"/>
    </row>
    <row r="515" spans="1:9" ht="16.5">
      <c r="A515" s="275">
        <v>342</v>
      </c>
      <c r="B515" s="18" t="s">
        <v>89</v>
      </c>
      <c r="C515" s="34" t="s">
        <v>1964</v>
      </c>
      <c r="D515" s="98" t="e">
        <f t="shared" si="29"/>
        <v>#REF!</v>
      </c>
      <c r="E515" s="96" t="e">
        <f>gog!#REF!</f>
        <v>#REF!</v>
      </c>
      <c r="F515" s="100"/>
      <c r="G515" s="98" t="e">
        <f t="shared" si="30"/>
        <v>#REF!</v>
      </c>
      <c r="H515" s="109" t="e">
        <f>gog!#REF!</f>
        <v>#REF!</v>
      </c>
      <c r="I515" s="100"/>
    </row>
    <row r="516" spans="1:9" ht="16.5">
      <c r="A516" s="275">
        <v>343</v>
      </c>
      <c r="B516" s="18" t="s">
        <v>91</v>
      </c>
      <c r="C516" s="34" t="s">
        <v>1763</v>
      </c>
      <c r="D516" s="98" t="e">
        <f t="shared" si="29"/>
        <v>#REF!</v>
      </c>
      <c r="E516" s="96" t="e">
        <f>gog!#REF!</f>
        <v>#REF!</v>
      </c>
      <c r="F516" s="100"/>
      <c r="G516" s="98" t="e">
        <f t="shared" si="30"/>
        <v>#REF!</v>
      </c>
      <c r="H516" s="109" t="e">
        <f>gog!#REF!</f>
        <v>#REF!</v>
      </c>
      <c r="I516" s="100"/>
    </row>
    <row r="517" spans="1:9" ht="16.5">
      <c r="A517" s="275">
        <v>344</v>
      </c>
      <c r="B517" s="18" t="s">
        <v>95</v>
      </c>
      <c r="C517" s="34" t="s">
        <v>1765</v>
      </c>
      <c r="D517" s="98" t="e">
        <f t="shared" si="29"/>
        <v>#REF!</v>
      </c>
      <c r="E517" s="96" t="e">
        <f>gog!#REF!</f>
        <v>#REF!</v>
      </c>
      <c r="F517" s="100"/>
      <c r="G517" s="98" t="e">
        <f t="shared" si="30"/>
        <v>#REF!</v>
      </c>
      <c r="H517" s="109" t="e">
        <f>gog!#REF!</f>
        <v>#REF!</v>
      </c>
      <c r="I517" s="100"/>
    </row>
    <row r="518" spans="1:9" ht="16.5">
      <c r="A518" s="275">
        <v>345</v>
      </c>
      <c r="B518" s="19" t="s">
        <v>97</v>
      </c>
      <c r="C518" s="34" t="s">
        <v>1766</v>
      </c>
      <c r="D518" s="98" t="e">
        <f t="shared" si="29"/>
        <v>#REF!</v>
      </c>
      <c r="E518" s="96" t="e">
        <f>gog!#REF!</f>
        <v>#REF!</v>
      </c>
      <c r="F518" s="100"/>
      <c r="G518" s="98" t="e">
        <f t="shared" si="30"/>
        <v>#REF!</v>
      </c>
      <c r="H518" s="109" t="e">
        <f>gog!#REF!</f>
        <v>#REF!</v>
      </c>
      <c r="I518" s="100"/>
    </row>
    <row r="519" spans="1:9" ht="17.25" thickBot="1">
      <c r="A519" s="275">
        <v>346</v>
      </c>
      <c r="B519" s="19" t="s">
        <v>100</v>
      </c>
      <c r="C519" s="34" t="s">
        <v>1767</v>
      </c>
      <c r="D519" s="101" t="e">
        <f t="shared" si="29"/>
        <v>#REF!</v>
      </c>
      <c r="E519" s="96" t="e">
        <f>gog!#REF!</f>
        <v>#REF!</v>
      </c>
      <c r="F519" s="103"/>
      <c r="G519" s="101" t="e">
        <f t="shared" si="30"/>
        <v>#REF!</v>
      </c>
      <c r="H519" s="109" t="e">
        <f>gog!#REF!</f>
        <v>#REF!</v>
      </c>
      <c r="I519" s="103"/>
    </row>
    <row r="520" spans="1:9" ht="17.25" thickBot="1">
      <c r="A520" s="275">
        <v>347</v>
      </c>
      <c r="B520" s="279" t="s">
        <v>2038</v>
      </c>
      <c r="C520" s="500" t="s">
        <v>1768</v>
      </c>
      <c r="D520" s="104" t="e">
        <f t="shared" si="29"/>
        <v>#REF!</v>
      </c>
      <c r="E520" s="105" t="e">
        <f>SUM(E521:E532)</f>
        <v>#REF!</v>
      </c>
      <c r="F520" s="106">
        <f>SUM(F521:F532)</f>
        <v>0</v>
      </c>
      <c r="G520" s="104" t="e">
        <f t="shared" si="30"/>
        <v>#REF!</v>
      </c>
      <c r="H520" s="107" t="e">
        <f>SUM(H521:H532)</f>
        <v>#REF!</v>
      </c>
      <c r="I520" s="498">
        <f>SUM(I521:I532)</f>
        <v>0</v>
      </c>
    </row>
    <row r="521" spans="1:9" ht="16.5">
      <c r="A521" s="275">
        <v>348</v>
      </c>
      <c r="B521" s="17" t="s">
        <v>77</v>
      </c>
      <c r="C521" s="501" t="s">
        <v>1769</v>
      </c>
      <c r="D521" s="95" t="e">
        <f t="shared" si="29"/>
        <v>#REF!</v>
      </c>
      <c r="E521" s="96" t="e">
        <f>gog!#REF!</f>
        <v>#REF!</v>
      </c>
      <c r="F521" s="97"/>
      <c r="G521" s="95" t="e">
        <f t="shared" si="30"/>
        <v>#REF!</v>
      </c>
      <c r="H521" s="109" t="e">
        <f>gog!#REF!</f>
        <v>#REF!</v>
      </c>
      <c r="I521" s="97"/>
    </row>
    <row r="522" spans="1:9" ht="16.5">
      <c r="A522" s="275">
        <v>349</v>
      </c>
      <c r="B522" s="18" t="s">
        <v>79</v>
      </c>
      <c r="C522" s="501" t="s">
        <v>1770</v>
      </c>
      <c r="D522" s="98" t="e">
        <f t="shared" si="29"/>
        <v>#REF!</v>
      </c>
      <c r="E522" s="96" t="e">
        <f>gog!#REF!</f>
        <v>#REF!</v>
      </c>
      <c r="F522" s="100"/>
      <c r="G522" s="98" t="e">
        <f t="shared" si="30"/>
        <v>#REF!</v>
      </c>
      <c r="H522" s="109" t="e">
        <f>gog!#REF!</f>
        <v>#REF!</v>
      </c>
      <c r="I522" s="100"/>
    </row>
    <row r="523" spans="1:9" ht="16.5">
      <c r="A523" s="275">
        <v>350</v>
      </c>
      <c r="B523" s="18" t="s">
        <v>81</v>
      </c>
      <c r="C523" s="501" t="s">
        <v>1771</v>
      </c>
      <c r="D523" s="98" t="e">
        <f t="shared" si="29"/>
        <v>#REF!</v>
      </c>
      <c r="E523" s="96" t="e">
        <f>gog!#REF!</f>
        <v>#REF!</v>
      </c>
      <c r="F523" s="100"/>
      <c r="G523" s="98" t="e">
        <f t="shared" si="30"/>
        <v>#REF!</v>
      </c>
      <c r="H523" s="109" t="e">
        <f>gog!#REF!</f>
        <v>#REF!</v>
      </c>
      <c r="I523" s="100"/>
    </row>
    <row r="524" spans="1:9" ht="16.5">
      <c r="A524" s="275">
        <v>351</v>
      </c>
      <c r="B524" s="18" t="s">
        <v>83</v>
      </c>
      <c r="C524" s="501" t="s">
        <v>1772</v>
      </c>
      <c r="D524" s="98" t="e">
        <f t="shared" si="29"/>
        <v>#REF!</v>
      </c>
      <c r="E524" s="96" t="e">
        <f>gog!#REF!</f>
        <v>#REF!</v>
      </c>
      <c r="F524" s="100"/>
      <c r="G524" s="98" t="e">
        <f t="shared" si="30"/>
        <v>#REF!</v>
      </c>
      <c r="H524" s="109" t="e">
        <f>gog!#REF!</f>
        <v>#REF!</v>
      </c>
      <c r="I524" s="100"/>
    </row>
    <row r="525" spans="1:9" ht="16.5">
      <c r="A525" s="275">
        <v>352</v>
      </c>
      <c r="B525" s="18" t="s">
        <v>85</v>
      </c>
      <c r="C525" s="501" t="s">
        <v>1773</v>
      </c>
      <c r="D525" s="98" t="e">
        <f t="shared" si="29"/>
        <v>#REF!</v>
      </c>
      <c r="E525" s="96" t="e">
        <f>gog!#REF!</f>
        <v>#REF!</v>
      </c>
      <c r="F525" s="100"/>
      <c r="G525" s="98" t="e">
        <f t="shared" si="30"/>
        <v>#REF!</v>
      </c>
      <c r="H525" s="109" t="e">
        <f>gog!#REF!</f>
        <v>#REF!</v>
      </c>
      <c r="I525" s="100"/>
    </row>
    <row r="526" spans="1:9" ht="16.5">
      <c r="A526" s="275">
        <v>353</v>
      </c>
      <c r="B526" s="18" t="s">
        <v>87</v>
      </c>
      <c r="C526" s="501" t="s">
        <v>1774</v>
      </c>
      <c r="D526" s="98" t="e">
        <f t="shared" si="29"/>
        <v>#REF!</v>
      </c>
      <c r="E526" s="96" t="e">
        <f>gog!#REF!</f>
        <v>#REF!</v>
      </c>
      <c r="F526" s="100"/>
      <c r="G526" s="98" t="e">
        <f t="shared" si="30"/>
        <v>#REF!</v>
      </c>
      <c r="H526" s="109" t="e">
        <f>gog!#REF!</f>
        <v>#REF!</v>
      </c>
      <c r="I526" s="100"/>
    </row>
    <row r="527" spans="1:9" ht="16.5">
      <c r="A527" s="275">
        <v>354</v>
      </c>
      <c r="B527" s="18" t="s">
        <v>25</v>
      </c>
      <c r="C527" s="501" t="s">
        <v>1775</v>
      </c>
      <c r="D527" s="98" t="e">
        <f t="shared" si="29"/>
        <v>#REF!</v>
      </c>
      <c r="E527" s="96" t="e">
        <f>gog!#REF!</f>
        <v>#REF!</v>
      </c>
      <c r="F527" s="100"/>
      <c r="G527" s="98" t="e">
        <f t="shared" si="30"/>
        <v>#REF!</v>
      </c>
      <c r="H527" s="109" t="e">
        <f>gog!#REF!</f>
        <v>#REF!</v>
      </c>
      <c r="I527" s="100"/>
    </row>
    <row r="528" spans="1:9" ht="16.5">
      <c r="A528" s="275">
        <v>355</v>
      </c>
      <c r="B528" s="18" t="s">
        <v>89</v>
      </c>
      <c r="C528" s="501" t="s">
        <v>1776</v>
      </c>
      <c r="D528" s="98" t="e">
        <f t="shared" si="29"/>
        <v>#REF!</v>
      </c>
      <c r="E528" s="96" t="e">
        <f>gog!#REF!</f>
        <v>#REF!</v>
      </c>
      <c r="F528" s="100"/>
      <c r="G528" s="98" t="e">
        <f t="shared" si="30"/>
        <v>#REF!</v>
      </c>
      <c r="H528" s="109" t="e">
        <f>gog!#REF!</f>
        <v>#REF!</v>
      </c>
      <c r="I528" s="100"/>
    </row>
    <row r="529" spans="1:9" ht="16.5">
      <c r="A529" s="275">
        <v>356</v>
      </c>
      <c r="B529" s="18" t="s">
        <v>91</v>
      </c>
      <c r="C529" s="501" t="s">
        <v>1777</v>
      </c>
      <c r="D529" s="98" t="e">
        <f t="shared" si="29"/>
        <v>#REF!</v>
      </c>
      <c r="E529" s="96" t="e">
        <f>gog!#REF!</f>
        <v>#REF!</v>
      </c>
      <c r="F529" s="100"/>
      <c r="G529" s="98" t="e">
        <f t="shared" si="30"/>
        <v>#REF!</v>
      </c>
      <c r="H529" s="109" t="e">
        <f>gog!#REF!</f>
        <v>#REF!</v>
      </c>
      <c r="I529" s="100"/>
    </row>
    <row r="530" spans="1:9" ht="16.5">
      <c r="A530" s="275">
        <v>357</v>
      </c>
      <c r="B530" s="18" t="s">
        <v>95</v>
      </c>
      <c r="C530" s="501" t="s">
        <v>1778</v>
      </c>
      <c r="D530" s="98" t="e">
        <f t="shared" si="29"/>
        <v>#REF!</v>
      </c>
      <c r="E530" s="96" t="e">
        <f>gog!#REF!</f>
        <v>#REF!</v>
      </c>
      <c r="F530" s="100"/>
      <c r="G530" s="98" t="e">
        <f t="shared" si="30"/>
        <v>#REF!</v>
      </c>
      <c r="H530" s="109" t="e">
        <f>gog!#REF!</f>
        <v>#REF!</v>
      </c>
      <c r="I530" s="100"/>
    </row>
    <row r="531" spans="1:9" ht="16.5">
      <c r="A531" s="275">
        <v>358</v>
      </c>
      <c r="B531" s="19" t="s">
        <v>97</v>
      </c>
      <c r="C531" s="501" t="s">
        <v>1779</v>
      </c>
      <c r="D531" s="98" t="e">
        <f t="shared" si="29"/>
        <v>#REF!</v>
      </c>
      <c r="E531" s="96" t="e">
        <f>gog!#REF!</f>
        <v>#REF!</v>
      </c>
      <c r="F531" s="100"/>
      <c r="G531" s="98" t="e">
        <f t="shared" si="30"/>
        <v>#REF!</v>
      </c>
      <c r="H531" s="109" t="e">
        <f>gog!#REF!</f>
        <v>#REF!</v>
      </c>
      <c r="I531" s="100"/>
    </row>
    <row r="532" spans="1:9" ht="17.25" thickBot="1">
      <c r="A532" s="275">
        <v>359</v>
      </c>
      <c r="B532" s="19" t="s">
        <v>100</v>
      </c>
      <c r="C532" s="501" t="s">
        <v>2397</v>
      </c>
      <c r="D532" s="149" t="e">
        <f t="shared" si="29"/>
        <v>#REF!</v>
      </c>
      <c r="E532" s="96" t="e">
        <f>gog!#REF!</f>
        <v>#REF!</v>
      </c>
      <c r="F532" s="114"/>
      <c r="G532" s="113" t="e">
        <f t="shared" si="30"/>
        <v>#REF!</v>
      </c>
      <c r="H532" s="109" t="e">
        <f>gog!#REF!</f>
        <v>#REF!</v>
      </c>
      <c r="I532" s="114"/>
    </row>
    <row r="533" spans="1:9" ht="79.5" thickBot="1">
      <c r="A533" s="371"/>
      <c r="B533" s="279" t="s">
        <v>1952</v>
      </c>
      <c r="C533" s="500" t="s">
        <v>2398</v>
      </c>
      <c r="D533" s="104" t="e">
        <f>E533+F533</f>
        <v>#REF!</v>
      </c>
      <c r="E533" s="105" t="e">
        <f>SUM(E534:E535)</f>
        <v>#REF!</v>
      </c>
      <c r="F533" s="106">
        <f>SUM(F534:F535)</f>
        <v>0</v>
      </c>
      <c r="G533" s="104" t="e">
        <f>H533+I533</f>
        <v>#REF!</v>
      </c>
      <c r="H533" s="107" t="e">
        <f>SUM(H534:H535)</f>
        <v>#REF!</v>
      </c>
      <c r="I533" s="498">
        <f>SUM(I534:I535)</f>
        <v>0</v>
      </c>
    </row>
    <row r="534" spans="1:9" ht="16.5">
      <c r="A534" s="371"/>
      <c r="B534" s="17" t="s">
        <v>77</v>
      </c>
      <c r="C534" s="501" t="s">
        <v>2399</v>
      </c>
      <c r="D534" s="151" t="e">
        <f>E534+F534</f>
        <v>#REF!</v>
      </c>
      <c r="E534" s="96" t="e">
        <f>gog!#REF!</f>
        <v>#REF!</v>
      </c>
      <c r="F534" s="155"/>
      <c r="G534" s="151" t="e">
        <f>H534+I534</f>
        <v>#REF!</v>
      </c>
      <c r="H534" s="109" t="e">
        <f>gog!#REF!</f>
        <v>#REF!</v>
      </c>
      <c r="I534" s="155"/>
    </row>
    <row r="535" spans="1:9" ht="17.25" thickBot="1">
      <c r="A535" s="371"/>
      <c r="B535" s="18" t="s">
        <v>81</v>
      </c>
      <c r="C535" s="505" t="s">
        <v>2400</v>
      </c>
      <c r="D535" s="98" t="e">
        <f>E535+F535</f>
        <v>#REF!</v>
      </c>
      <c r="E535" s="96" t="e">
        <f>gog!#REF!</f>
        <v>#REF!</v>
      </c>
      <c r="F535" s="155"/>
      <c r="G535" s="98" t="e">
        <f>H535+I535</f>
        <v>#REF!</v>
      </c>
      <c r="H535" s="109" t="e">
        <f>gog!#REF!</f>
        <v>#REF!</v>
      </c>
      <c r="I535" s="155"/>
    </row>
    <row r="536" spans="1:9" ht="17.25" thickBot="1">
      <c r="A536" s="371">
        <v>360</v>
      </c>
      <c r="B536" s="381" t="s">
        <v>196</v>
      </c>
      <c r="C536" s="506" t="s">
        <v>2401</v>
      </c>
      <c r="D536" s="104" t="e">
        <f t="shared" si="29"/>
        <v>#REF!</v>
      </c>
      <c r="E536" s="105" t="e">
        <f>SUM(E537:E538)</f>
        <v>#REF!</v>
      </c>
      <c r="F536" s="106" t="e">
        <f>F537</f>
        <v>#REF!</v>
      </c>
      <c r="G536" s="104" t="e">
        <f t="shared" si="30"/>
        <v>#REF!</v>
      </c>
      <c r="H536" s="107" t="e">
        <f>SUM(H537:H538)</f>
        <v>#REF!</v>
      </c>
      <c r="I536" s="168" t="e">
        <f>I537</f>
        <v>#REF!</v>
      </c>
    </row>
    <row r="537" spans="1:9" ht="16.5">
      <c r="A537" s="275">
        <v>361</v>
      </c>
      <c r="B537" s="278" t="s">
        <v>91</v>
      </c>
      <c r="C537" s="507" t="s">
        <v>2402</v>
      </c>
      <c r="D537" s="387" t="e">
        <f t="shared" si="29"/>
        <v>#REF!</v>
      </c>
      <c r="E537" s="388" t="e">
        <f>gog!#REF!</f>
        <v>#REF!</v>
      </c>
      <c r="F537" s="389" t="e">
        <f>gog!#REF!</f>
        <v>#REF!</v>
      </c>
      <c r="G537" s="387" t="e">
        <f t="shared" si="30"/>
        <v>#REF!</v>
      </c>
      <c r="H537" s="390" t="e">
        <f>gog!#REF!</f>
        <v>#REF!</v>
      </c>
      <c r="I537" s="389" t="e">
        <f>gog!#REF!</f>
        <v>#REF!</v>
      </c>
    </row>
    <row r="538" spans="1:9" ht="17.25" thickBot="1">
      <c r="A538" s="275"/>
      <c r="B538" s="508" t="s">
        <v>100</v>
      </c>
      <c r="C538" s="41" t="s">
        <v>2403</v>
      </c>
      <c r="D538" s="101" t="e">
        <f t="shared" si="29"/>
        <v>#REF!</v>
      </c>
      <c r="E538" s="121" t="e">
        <f>gog!#REF!</f>
        <v>#REF!</v>
      </c>
      <c r="F538" s="114"/>
      <c r="G538" s="101" t="e">
        <f>H538</f>
        <v>#REF!</v>
      </c>
      <c r="H538" s="122" t="e">
        <f>gog!#REF!</f>
        <v>#REF!</v>
      </c>
      <c r="I538" s="370"/>
    </row>
    <row r="539" spans="1:9" ht="63.75" thickBot="1">
      <c r="A539" s="275">
        <v>362</v>
      </c>
      <c r="B539" s="497" t="s">
        <v>311</v>
      </c>
      <c r="C539" s="500" t="s">
        <v>2404</v>
      </c>
      <c r="D539" s="104" t="e">
        <f t="shared" si="29"/>
        <v>#REF!</v>
      </c>
      <c r="E539" s="105" t="e">
        <f>SUM(E540:E552)</f>
        <v>#REF!</v>
      </c>
      <c r="F539" s="106">
        <f>SUM(F540:F552)</f>
        <v>0</v>
      </c>
      <c r="G539" s="104" t="e">
        <f t="shared" si="30"/>
        <v>#REF!</v>
      </c>
      <c r="H539" s="107" t="e">
        <f>SUM(H540:H552)</f>
        <v>#REF!</v>
      </c>
      <c r="I539" s="498">
        <f>SUM(I540:I552)</f>
        <v>0</v>
      </c>
    </row>
    <row r="540" spans="1:9" ht="16.5">
      <c r="A540" s="275">
        <v>363</v>
      </c>
      <c r="B540" s="503" t="s">
        <v>77</v>
      </c>
      <c r="C540" s="501" t="s">
        <v>2405</v>
      </c>
      <c r="D540" s="151" t="e">
        <f t="shared" si="29"/>
        <v>#REF!</v>
      </c>
      <c r="E540" s="96" t="e">
        <f>gog!#REF!</f>
        <v>#REF!</v>
      </c>
      <c r="F540" s="155"/>
      <c r="G540" s="151" t="e">
        <f t="shared" si="30"/>
        <v>#REF!</v>
      </c>
      <c r="H540" s="109" t="e">
        <f>gog!#REF!</f>
        <v>#REF!</v>
      </c>
      <c r="I540" s="155"/>
    </row>
    <row r="541" spans="1:9" ht="16.5">
      <c r="A541" s="275">
        <v>364</v>
      </c>
      <c r="B541" s="9" t="s">
        <v>79</v>
      </c>
      <c r="C541" s="501" t="s">
        <v>2406</v>
      </c>
      <c r="D541" s="98" t="e">
        <f t="shared" si="29"/>
        <v>#REF!</v>
      </c>
      <c r="E541" s="96" t="e">
        <f>gog!#REF!</f>
        <v>#REF!</v>
      </c>
      <c r="F541" s="126"/>
      <c r="G541" s="98" t="e">
        <f t="shared" si="30"/>
        <v>#REF!</v>
      </c>
      <c r="H541" s="109" t="e">
        <f>gog!#REF!</f>
        <v>#REF!</v>
      </c>
      <c r="I541" s="126"/>
    </row>
    <row r="542" spans="1:9" ht="16.5">
      <c r="A542" s="275">
        <v>365</v>
      </c>
      <c r="B542" s="9" t="s">
        <v>81</v>
      </c>
      <c r="C542" s="501" t="s">
        <v>2407</v>
      </c>
      <c r="D542" s="98" t="e">
        <f t="shared" si="29"/>
        <v>#REF!</v>
      </c>
      <c r="E542" s="96" t="e">
        <f>gog!#REF!</f>
        <v>#REF!</v>
      </c>
      <c r="F542" s="155"/>
      <c r="G542" s="98" t="e">
        <f t="shared" si="30"/>
        <v>#REF!</v>
      </c>
      <c r="H542" s="109" t="e">
        <f>gog!#REF!</f>
        <v>#REF!</v>
      </c>
      <c r="I542" s="155"/>
    </row>
    <row r="543" spans="1:9" ht="16.5">
      <c r="A543" s="275">
        <v>366</v>
      </c>
      <c r="B543" s="9" t="s">
        <v>83</v>
      </c>
      <c r="C543" s="501" t="s">
        <v>2408</v>
      </c>
      <c r="D543" s="98" t="e">
        <f t="shared" si="29"/>
        <v>#REF!</v>
      </c>
      <c r="E543" s="96" t="e">
        <f>gog!#REF!</f>
        <v>#REF!</v>
      </c>
      <c r="F543" s="126"/>
      <c r="G543" s="98" t="e">
        <f t="shared" si="30"/>
        <v>#REF!</v>
      </c>
      <c r="H543" s="109" t="e">
        <f>gog!#REF!</f>
        <v>#REF!</v>
      </c>
      <c r="I543" s="126"/>
    </row>
    <row r="544" spans="1:9" ht="16.5">
      <c r="A544" s="275">
        <v>367</v>
      </c>
      <c r="B544" s="9" t="s">
        <v>85</v>
      </c>
      <c r="C544" s="501" t="s">
        <v>2409</v>
      </c>
      <c r="D544" s="98" t="e">
        <f t="shared" si="29"/>
        <v>#REF!</v>
      </c>
      <c r="E544" s="96" t="e">
        <f>gog!#REF!</f>
        <v>#REF!</v>
      </c>
      <c r="F544" s="126"/>
      <c r="G544" s="98" t="e">
        <f t="shared" si="30"/>
        <v>#REF!</v>
      </c>
      <c r="H544" s="109" t="e">
        <f>gog!#REF!</f>
        <v>#REF!</v>
      </c>
      <c r="I544" s="126"/>
    </row>
    <row r="545" spans="1:9" ht="16.5">
      <c r="A545" s="275">
        <v>368</v>
      </c>
      <c r="B545" s="9" t="s">
        <v>87</v>
      </c>
      <c r="C545" s="501" t="s">
        <v>2410</v>
      </c>
      <c r="D545" s="98" t="e">
        <f t="shared" si="29"/>
        <v>#REF!</v>
      </c>
      <c r="E545" s="96" t="e">
        <f>gog!#REF!</f>
        <v>#REF!</v>
      </c>
      <c r="F545" s="126"/>
      <c r="G545" s="98" t="e">
        <f t="shared" si="30"/>
        <v>#REF!</v>
      </c>
      <c r="H545" s="109" t="e">
        <f>gog!#REF!</f>
        <v>#REF!</v>
      </c>
      <c r="I545" s="126"/>
    </row>
    <row r="546" spans="1:9" ht="16.5">
      <c r="A546" s="275">
        <v>369</v>
      </c>
      <c r="B546" s="9" t="s">
        <v>25</v>
      </c>
      <c r="C546" s="501" t="s">
        <v>2411</v>
      </c>
      <c r="D546" s="98" t="e">
        <f t="shared" si="29"/>
        <v>#REF!</v>
      </c>
      <c r="E546" s="96" t="e">
        <f>gog!#REF!</f>
        <v>#REF!</v>
      </c>
      <c r="F546" s="126"/>
      <c r="G546" s="98" t="e">
        <f t="shared" si="30"/>
        <v>#REF!</v>
      </c>
      <c r="H546" s="109" t="e">
        <f>gog!#REF!</f>
        <v>#REF!</v>
      </c>
      <c r="I546" s="126"/>
    </row>
    <row r="547" spans="1:9" ht="16.5">
      <c r="A547" s="275">
        <v>370</v>
      </c>
      <c r="B547" s="9" t="s">
        <v>89</v>
      </c>
      <c r="C547" s="501" t="s">
        <v>2412</v>
      </c>
      <c r="D547" s="98" t="e">
        <f t="shared" si="29"/>
        <v>#REF!</v>
      </c>
      <c r="E547" s="96" t="e">
        <f>gog!#REF!</f>
        <v>#REF!</v>
      </c>
      <c r="F547" s="126"/>
      <c r="G547" s="98" t="e">
        <f t="shared" si="30"/>
        <v>#REF!</v>
      </c>
      <c r="H547" s="109" t="e">
        <f>gog!#REF!</f>
        <v>#REF!</v>
      </c>
      <c r="I547" s="126"/>
    </row>
    <row r="548" spans="1:9" ht="16.5">
      <c r="A548" s="275">
        <v>371</v>
      </c>
      <c r="B548" s="9" t="s">
        <v>91</v>
      </c>
      <c r="C548" s="501" t="s">
        <v>2413</v>
      </c>
      <c r="D548" s="98" t="e">
        <f t="shared" si="29"/>
        <v>#REF!</v>
      </c>
      <c r="E548" s="96" t="e">
        <f>gog!#REF!</f>
        <v>#REF!</v>
      </c>
      <c r="F548" s="126"/>
      <c r="G548" s="98" t="e">
        <f t="shared" si="30"/>
        <v>#REF!</v>
      </c>
      <c r="H548" s="109" t="e">
        <f>gog!#REF!</f>
        <v>#REF!</v>
      </c>
      <c r="I548" s="126"/>
    </row>
    <row r="549" spans="1:9" ht="16.5">
      <c r="A549" s="275">
        <v>372</v>
      </c>
      <c r="B549" s="502" t="s">
        <v>201</v>
      </c>
      <c r="C549" s="501" t="s">
        <v>2416</v>
      </c>
      <c r="D549" s="98" t="e">
        <f t="shared" si="29"/>
        <v>#REF!</v>
      </c>
      <c r="E549" s="96" t="e">
        <f>gog!#REF!</f>
        <v>#REF!</v>
      </c>
      <c r="F549" s="126"/>
      <c r="G549" s="98" t="e">
        <f t="shared" si="30"/>
        <v>#REF!</v>
      </c>
      <c r="H549" s="109" t="e">
        <f>gog!#REF!</f>
        <v>#REF!</v>
      </c>
      <c r="I549" s="126"/>
    </row>
    <row r="550" spans="1:9" ht="16.5">
      <c r="A550" s="275">
        <v>373</v>
      </c>
      <c r="B550" s="9" t="s">
        <v>95</v>
      </c>
      <c r="C550" s="501" t="s">
        <v>2414</v>
      </c>
      <c r="D550" s="98" t="e">
        <f t="shared" si="29"/>
        <v>#REF!</v>
      </c>
      <c r="E550" s="96" t="e">
        <f>gog!#REF!</f>
        <v>#REF!</v>
      </c>
      <c r="F550" s="126"/>
      <c r="G550" s="98" t="e">
        <f t="shared" si="30"/>
        <v>#REF!</v>
      </c>
      <c r="H550" s="109" t="e">
        <f>gog!#REF!</f>
        <v>#REF!</v>
      </c>
      <c r="I550" s="126"/>
    </row>
    <row r="551" spans="1:9" ht="16.5">
      <c r="A551" s="275">
        <v>374</v>
      </c>
      <c r="B551" s="473" t="s">
        <v>97</v>
      </c>
      <c r="C551" s="501" t="s">
        <v>2138</v>
      </c>
      <c r="D551" s="98" t="e">
        <f t="shared" si="29"/>
        <v>#REF!</v>
      </c>
      <c r="E551" s="96" t="e">
        <f>gog!#REF!</f>
        <v>#REF!</v>
      </c>
      <c r="F551" s="126"/>
      <c r="G551" s="98" t="e">
        <f t="shared" si="30"/>
        <v>#REF!</v>
      </c>
      <c r="H551" s="109" t="e">
        <f>gog!#REF!</f>
        <v>#REF!</v>
      </c>
      <c r="I551" s="126"/>
    </row>
    <row r="552" spans="1:9" ht="17.25" thickBot="1">
      <c r="A552" s="275">
        <v>375</v>
      </c>
      <c r="B552" s="504" t="s">
        <v>100</v>
      </c>
      <c r="C552" s="501" t="s">
        <v>2139</v>
      </c>
      <c r="D552" s="101" t="e">
        <f t="shared" si="29"/>
        <v>#REF!</v>
      </c>
      <c r="E552" s="96" t="e">
        <f>gog!#REF!</f>
        <v>#REF!</v>
      </c>
      <c r="F552" s="124"/>
      <c r="G552" s="101" t="e">
        <f t="shared" si="30"/>
        <v>#REF!</v>
      </c>
      <c r="H552" s="109" t="e">
        <f>gog!#REF!</f>
        <v>#REF!</v>
      </c>
      <c r="I552" s="124"/>
    </row>
    <row r="553" spans="1:9" ht="63.75" thickBot="1">
      <c r="A553" s="275"/>
      <c r="B553" s="497" t="s">
        <v>2140</v>
      </c>
      <c r="C553" s="500" t="s">
        <v>2141</v>
      </c>
      <c r="D553" s="104" t="e">
        <f t="shared" si="29"/>
        <v>#REF!</v>
      </c>
      <c r="E553" s="105" t="e">
        <f>E554</f>
        <v>#REF!</v>
      </c>
      <c r="F553" s="106">
        <f>F554</f>
        <v>0</v>
      </c>
      <c r="G553" s="104" t="e">
        <f t="shared" si="30"/>
        <v>#REF!</v>
      </c>
      <c r="H553" s="107" t="e">
        <f>H554</f>
        <v>#REF!</v>
      </c>
      <c r="I553" s="498">
        <f>I554</f>
        <v>0</v>
      </c>
    </row>
    <row r="554" spans="1:9" ht="17.25" thickBot="1">
      <c r="A554" s="275"/>
      <c r="B554" s="9" t="s">
        <v>100</v>
      </c>
      <c r="C554" s="501" t="s">
        <v>2142</v>
      </c>
      <c r="D554" s="151" t="e">
        <f t="shared" si="29"/>
        <v>#REF!</v>
      </c>
      <c r="E554" s="96" t="e">
        <f>gog!#REF!</f>
        <v>#REF!</v>
      </c>
      <c r="F554" s="155"/>
      <c r="G554" s="151" t="e">
        <f t="shared" si="30"/>
        <v>#REF!</v>
      </c>
      <c r="H554" s="109" t="e">
        <f>gog!#REF!</f>
        <v>#REF!</v>
      </c>
      <c r="I554" s="155"/>
    </row>
    <row r="555" spans="1:9" ht="17.25" thickBot="1">
      <c r="A555" s="371"/>
      <c r="B555" s="493" t="s">
        <v>630</v>
      </c>
      <c r="C555" s="500" t="s">
        <v>631</v>
      </c>
      <c r="D555" s="104" t="e">
        <f t="shared" si="29"/>
        <v>#REF!</v>
      </c>
      <c r="E555" s="105" t="e">
        <f>E558</f>
        <v>#REF!</v>
      </c>
      <c r="F555" s="106">
        <f>F558</f>
        <v>0</v>
      </c>
      <c r="G555" s="104" t="e">
        <f t="shared" si="30"/>
        <v>#REF!</v>
      </c>
      <c r="H555" s="107" t="e">
        <f>H558</f>
        <v>#REF!</v>
      </c>
      <c r="I555" s="108">
        <f>I558</f>
        <v>0</v>
      </c>
    </row>
    <row r="556" spans="1:9" ht="16.5">
      <c r="A556" s="275"/>
      <c r="B556" s="503" t="s">
        <v>79</v>
      </c>
      <c r="C556" s="501" t="s">
        <v>632</v>
      </c>
      <c r="D556" s="151" t="e">
        <f>E556+F556</f>
        <v>#REF!</v>
      </c>
      <c r="E556" s="154" t="e">
        <f>gog!#REF!</f>
        <v>#REF!</v>
      </c>
      <c r="F556" s="155"/>
      <c r="G556" s="151" t="e">
        <f>H556+I556</f>
        <v>#REF!</v>
      </c>
      <c r="H556" s="154" t="e">
        <f>gog!#REF!</f>
        <v>#REF!</v>
      </c>
      <c r="I556" s="536"/>
    </row>
    <row r="557" spans="1:9" ht="16.5">
      <c r="A557" s="275"/>
      <c r="B557" s="502" t="s">
        <v>201</v>
      </c>
      <c r="C557" s="501" t="s">
        <v>633</v>
      </c>
      <c r="D557" s="98" t="e">
        <f>E557+F557</f>
        <v>#REF!</v>
      </c>
      <c r="E557" s="153" t="e">
        <f>gog!#REF!</f>
        <v>#REF!</v>
      </c>
      <c r="F557" s="126"/>
      <c r="G557" s="98" t="e">
        <f>H557+I557</f>
        <v>#REF!</v>
      </c>
      <c r="H557" s="153" t="e">
        <f>gog!#REF!</f>
        <v>#REF!</v>
      </c>
      <c r="I557" s="127"/>
    </row>
    <row r="558" spans="1:9" ht="17.25" thickBot="1">
      <c r="A558" s="275"/>
      <c r="B558" s="9" t="s">
        <v>100</v>
      </c>
      <c r="C558" s="501" t="s">
        <v>634</v>
      </c>
      <c r="D558" s="151" t="e">
        <f>E558+F558</f>
        <v>#REF!</v>
      </c>
      <c r="E558" s="96" t="e">
        <f>gog!#REF!+gog!#REF!+gog!#REF!+gog!#REF!+gog!#REF!</f>
        <v>#REF!</v>
      </c>
      <c r="F558" s="155"/>
      <c r="G558" s="151" t="e">
        <f>H558+I558</f>
        <v>#REF!</v>
      </c>
      <c r="H558" s="96" t="e">
        <f>gog!#REF!+gog!#REF!+gog!#REF!+gog!#REF!+gog!#REF!</f>
        <v>#REF!</v>
      </c>
      <c r="I558" s="155"/>
    </row>
    <row r="559" spans="1:9" ht="17.25" thickBot="1">
      <c r="A559" s="48">
        <v>376</v>
      </c>
      <c r="B559" s="46" t="s">
        <v>198</v>
      </c>
      <c r="C559" s="519" t="s">
        <v>199</v>
      </c>
      <c r="D559" s="93">
        <f t="shared" si="29"/>
        <v>15369293.189999999</v>
      </c>
      <c r="E559" s="164">
        <f>SUM(E560:E570)</f>
        <v>15369293.189999999</v>
      </c>
      <c r="F559" s="164">
        <f>F571+F573+F580</f>
        <v>0</v>
      </c>
      <c r="G559" s="93">
        <f t="shared" si="30"/>
        <v>25192223.559999999</v>
      </c>
      <c r="H559" s="164">
        <f>SUM(H560:H570)</f>
        <v>25192223.559999999</v>
      </c>
      <c r="I559" s="165">
        <f>I571+I573+I580</f>
        <v>0</v>
      </c>
    </row>
    <row r="560" spans="1:9" ht="16.5">
      <c r="A560" s="290"/>
      <c r="B560" s="503" t="s">
        <v>77</v>
      </c>
      <c r="C560" s="523" t="s">
        <v>2162</v>
      </c>
      <c r="D560" s="369">
        <f t="shared" si="29"/>
        <v>1170576.74</v>
      </c>
      <c r="E560" s="166">
        <f>E574+E581</f>
        <v>1170576.74</v>
      </c>
      <c r="F560" s="131">
        <f>F574+F581</f>
        <v>0</v>
      </c>
      <c r="G560" s="369">
        <f t="shared" si="30"/>
        <v>1170576.74</v>
      </c>
      <c r="H560" s="166">
        <f>H574+H581</f>
        <v>1170576.74</v>
      </c>
      <c r="I560" s="131">
        <f>I574+I581</f>
        <v>0</v>
      </c>
    </row>
    <row r="561" spans="1:9" ht="16.5">
      <c r="A561" s="275"/>
      <c r="B561" s="9" t="s">
        <v>79</v>
      </c>
      <c r="C561" s="524" t="s">
        <v>842</v>
      </c>
      <c r="D561" s="98">
        <f t="shared" si="29"/>
        <v>14230</v>
      </c>
      <c r="E561" s="167">
        <f>E582+E591</f>
        <v>14230</v>
      </c>
      <c r="F561" s="112">
        <f>F582+F591</f>
        <v>0</v>
      </c>
      <c r="G561" s="98">
        <f t="shared" si="30"/>
        <v>14230</v>
      </c>
      <c r="H561" s="167">
        <f>H582+H591</f>
        <v>14230</v>
      </c>
      <c r="I561" s="112">
        <f>I582+I591</f>
        <v>0</v>
      </c>
    </row>
    <row r="562" spans="1:9" ht="16.5">
      <c r="A562" s="275"/>
      <c r="B562" s="9" t="s">
        <v>81</v>
      </c>
      <c r="C562" s="505" t="s">
        <v>2163</v>
      </c>
      <c r="D562" s="98">
        <f t="shared" si="29"/>
        <v>353514.17000000004</v>
      </c>
      <c r="E562" s="167">
        <f>E575+E583</f>
        <v>353514.17000000004</v>
      </c>
      <c r="F562" s="112">
        <f>F575+F583</f>
        <v>0</v>
      </c>
      <c r="G562" s="98">
        <f t="shared" si="30"/>
        <v>353514.17000000004</v>
      </c>
      <c r="H562" s="167">
        <f>H575+H583</f>
        <v>353514.17000000004</v>
      </c>
      <c r="I562" s="112">
        <f>I575+I583</f>
        <v>0</v>
      </c>
    </row>
    <row r="563" spans="1:9" ht="16.5">
      <c r="A563" s="275"/>
      <c r="B563" s="9" t="s">
        <v>83</v>
      </c>
      <c r="C563" s="501" t="s">
        <v>2164</v>
      </c>
      <c r="D563" s="98">
        <f t="shared" si="29"/>
        <v>950</v>
      </c>
      <c r="E563" s="167">
        <f t="shared" ref="E563:F565" si="31">E584</f>
        <v>950</v>
      </c>
      <c r="F563" s="112">
        <f t="shared" si="31"/>
        <v>0</v>
      </c>
      <c r="G563" s="98">
        <f t="shared" si="30"/>
        <v>950</v>
      </c>
      <c r="H563" s="167">
        <f t="shared" ref="H563:I565" si="32">H584</f>
        <v>950</v>
      </c>
      <c r="I563" s="112">
        <f t="shared" si="32"/>
        <v>0</v>
      </c>
    </row>
    <row r="564" spans="1:9" ht="16.5">
      <c r="A564" s="275"/>
      <c r="B564" s="9" t="s">
        <v>85</v>
      </c>
      <c r="C564" s="501" t="s">
        <v>848</v>
      </c>
      <c r="D564" s="98">
        <f t="shared" si="29"/>
        <v>0</v>
      </c>
      <c r="E564" s="167">
        <f t="shared" si="31"/>
        <v>0</v>
      </c>
      <c r="F564" s="112">
        <f t="shared" si="31"/>
        <v>0</v>
      </c>
      <c r="G564" s="98">
        <f t="shared" si="30"/>
        <v>0</v>
      </c>
      <c r="H564" s="167">
        <f t="shared" si="32"/>
        <v>0</v>
      </c>
      <c r="I564" s="112">
        <f t="shared" si="32"/>
        <v>0</v>
      </c>
    </row>
    <row r="565" spans="1:9" ht="16.5">
      <c r="A565" s="275">
        <v>377</v>
      </c>
      <c r="B565" s="9" t="s">
        <v>87</v>
      </c>
      <c r="C565" s="501" t="s">
        <v>2153</v>
      </c>
      <c r="D565" s="98">
        <f t="shared" si="29"/>
        <v>7093</v>
      </c>
      <c r="E565" s="167">
        <f t="shared" si="31"/>
        <v>7093</v>
      </c>
      <c r="F565" s="112">
        <f t="shared" si="31"/>
        <v>0</v>
      </c>
      <c r="G565" s="98">
        <f t="shared" si="30"/>
        <v>7093</v>
      </c>
      <c r="H565" s="167">
        <f t="shared" si="32"/>
        <v>7093</v>
      </c>
      <c r="I565" s="112">
        <f t="shared" si="32"/>
        <v>0</v>
      </c>
    </row>
    <row r="566" spans="1:9" ht="16.5">
      <c r="A566" s="275">
        <v>378</v>
      </c>
      <c r="B566" s="9" t="s">
        <v>91</v>
      </c>
      <c r="C566" s="505" t="s">
        <v>200</v>
      </c>
      <c r="D566" s="98">
        <f t="shared" si="29"/>
        <v>3600</v>
      </c>
      <c r="E566" s="111">
        <f>E587+E592</f>
        <v>3600</v>
      </c>
      <c r="F566" s="112">
        <f>F587+F592</f>
        <v>0</v>
      </c>
      <c r="G566" s="98">
        <f t="shared" si="30"/>
        <v>3600</v>
      </c>
      <c r="H566" s="111">
        <f>H587+H592</f>
        <v>3600</v>
      </c>
      <c r="I566" s="112">
        <f>I587+I592</f>
        <v>0</v>
      </c>
    </row>
    <row r="567" spans="1:9" ht="16.5">
      <c r="A567" s="275">
        <v>379</v>
      </c>
      <c r="B567" s="502" t="s">
        <v>201</v>
      </c>
      <c r="C567" s="505" t="s">
        <v>202</v>
      </c>
      <c r="D567" s="98">
        <f t="shared" si="29"/>
        <v>12760530.369999999</v>
      </c>
      <c r="E567" s="111">
        <f>E577+E579+E593</f>
        <v>12760530.369999999</v>
      </c>
      <c r="F567" s="112">
        <f>F577+F579+F593</f>
        <v>0</v>
      </c>
      <c r="G567" s="98">
        <f t="shared" si="30"/>
        <v>22583460.739999998</v>
      </c>
      <c r="H567" s="111">
        <f>H577+H579+H593</f>
        <v>22583460.739999998</v>
      </c>
      <c r="I567" s="112">
        <f>I577+I579+I593</f>
        <v>0</v>
      </c>
    </row>
    <row r="568" spans="1:9" ht="39">
      <c r="A568" s="275">
        <v>380</v>
      </c>
      <c r="B568" s="278" t="s">
        <v>203</v>
      </c>
      <c r="C568" s="505" t="s">
        <v>204</v>
      </c>
      <c r="D568" s="98">
        <f t="shared" si="29"/>
        <v>1058798.9099999999</v>
      </c>
      <c r="E568" s="111">
        <f>E572</f>
        <v>1058798.9099999999</v>
      </c>
      <c r="F568" s="112">
        <f>F572</f>
        <v>0</v>
      </c>
      <c r="G568" s="98">
        <f t="shared" si="30"/>
        <v>1058798.9099999999</v>
      </c>
      <c r="H568" s="111">
        <f>H572</f>
        <v>1058798.9099999999</v>
      </c>
      <c r="I568" s="112">
        <f>I572</f>
        <v>0</v>
      </c>
    </row>
    <row r="569" spans="1:9" ht="16.5">
      <c r="A569" s="275"/>
      <c r="B569" s="473" t="s">
        <v>97</v>
      </c>
      <c r="C569" s="505" t="s">
        <v>2165</v>
      </c>
      <c r="D569" s="98">
        <f t="shared" si="29"/>
        <v>0</v>
      </c>
      <c r="E569" s="111">
        <f>E588</f>
        <v>0</v>
      </c>
      <c r="F569" s="112">
        <f>F588</f>
        <v>0</v>
      </c>
      <c r="G569" s="98">
        <f t="shared" si="30"/>
        <v>0</v>
      </c>
      <c r="H569" s="111">
        <f>H588</f>
        <v>0</v>
      </c>
      <c r="I569" s="112">
        <f>I588</f>
        <v>0</v>
      </c>
    </row>
    <row r="570" spans="1:9" ht="17.25" thickBot="1">
      <c r="A570" s="275">
        <v>381</v>
      </c>
      <c r="B570" s="504" t="s">
        <v>100</v>
      </c>
      <c r="C570" s="515" t="s">
        <v>2156</v>
      </c>
      <c r="D570" s="149">
        <f t="shared" si="29"/>
        <v>0</v>
      </c>
      <c r="E570" s="115">
        <f>E589</f>
        <v>0</v>
      </c>
      <c r="F570" s="116">
        <f>F589</f>
        <v>0</v>
      </c>
      <c r="G570" s="149">
        <f t="shared" si="30"/>
        <v>0</v>
      </c>
      <c r="H570" s="115">
        <f>H589</f>
        <v>0</v>
      </c>
      <c r="I570" s="116">
        <f>I589</f>
        <v>0</v>
      </c>
    </row>
    <row r="571" spans="1:9" ht="17.25" thickBot="1">
      <c r="A571" s="371">
        <v>382</v>
      </c>
      <c r="B571" s="381" t="s">
        <v>205</v>
      </c>
      <c r="C571" s="500" t="s">
        <v>2250</v>
      </c>
      <c r="D571" s="104">
        <f t="shared" si="29"/>
        <v>1058798.9099999999</v>
      </c>
      <c r="E571" s="105">
        <f>E572</f>
        <v>1058798.9099999999</v>
      </c>
      <c r="F571" s="106">
        <f>F572</f>
        <v>0</v>
      </c>
      <c r="G571" s="104">
        <f t="shared" si="30"/>
        <v>1058798.9099999999</v>
      </c>
      <c r="H571" s="160">
        <f>H572</f>
        <v>1058798.9099999999</v>
      </c>
      <c r="I571" s="128">
        <f>I572</f>
        <v>0</v>
      </c>
    </row>
    <row r="572" spans="1:9" ht="39.75" thickBot="1">
      <c r="A572" s="275">
        <v>383</v>
      </c>
      <c r="B572" s="278" t="s">
        <v>203</v>
      </c>
      <c r="C572" s="41" t="s">
        <v>2251</v>
      </c>
      <c r="D572" s="104">
        <f t="shared" si="29"/>
        <v>1058798.9099999999</v>
      </c>
      <c r="E572" s="121">
        <f>gog!D822</f>
        <v>1058798.9099999999</v>
      </c>
      <c r="F572" s="114"/>
      <c r="G572" s="104">
        <f t="shared" si="30"/>
        <v>1058798.9099999999</v>
      </c>
      <c r="H572" s="122">
        <f>gog!G822</f>
        <v>1058798.9099999999</v>
      </c>
      <c r="I572" s="114"/>
    </row>
    <row r="573" spans="1:9" ht="17.25" thickBot="1">
      <c r="A573" s="275">
        <v>386</v>
      </c>
      <c r="B573" s="282" t="s">
        <v>208</v>
      </c>
      <c r="C573" s="500" t="s">
        <v>2252</v>
      </c>
      <c r="D573" s="104">
        <f t="shared" si="29"/>
        <v>26283060.739999998</v>
      </c>
      <c r="E573" s="105">
        <f>SUM(E574:E579)</f>
        <v>26283060.739999998</v>
      </c>
      <c r="F573" s="106">
        <f>SUM(F574:F575)</f>
        <v>0</v>
      </c>
      <c r="G573" s="104">
        <f t="shared" si="30"/>
        <v>45928921.479999997</v>
      </c>
      <c r="H573" s="107">
        <f>SUM(H574:H579)</f>
        <v>45928921.479999997</v>
      </c>
      <c r="I573" s="128">
        <f>SUM(I574:I575)</f>
        <v>0</v>
      </c>
    </row>
    <row r="574" spans="1:9" ht="16.5">
      <c r="A574" s="275"/>
      <c r="B574" s="503" t="s">
        <v>77</v>
      </c>
      <c r="C574" s="507" t="s">
        <v>2253</v>
      </c>
      <c r="D574" s="113">
        <f t="shared" si="29"/>
        <v>585253.46</v>
      </c>
      <c r="E574" s="121">
        <f>gog!D825</f>
        <v>585253.46</v>
      </c>
      <c r="F574" s="124"/>
      <c r="G574" s="113">
        <f t="shared" si="30"/>
        <v>585253.46</v>
      </c>
      <c r="H574" s="121">
        <f>gog!G825</f>
        <v>585253.46</v>
      </c>
      <c r="I574" s="157"/>
    </row>
    <row r="575" spans="1:9" ht="17.25" thickBot="1">
      <c r="A575" s="275"/>
      <c r="B575" s="9" t="s">
        <v>81</v>
      </c>
      <c r="C575" s="505" t="s">
        <v>2254</v>
      </c>
      <c r="D575" s="98">
        <f t="shared" si="29"/>
        <v>176746.54</v>
      </c>
      <c r="E575" s="99">
        <f>gog!D827</f>
        <v>176746.54</v>
      </c>
      <c r="F575" s="126"/>
      <c r="G575" s="98">
        <f t="shared" si="30"/>
        <v>176746.54</v>
      </c>
      <c r="H575" s="99">
        <f>gog!G827</f>
        <v>176746.54</v>
      </c>
      <c r="I575" s="126"/>
    </row>
    <row r="576" spans="1:9" ht="17.25" thickBot="1">
      <c r="A576" s="275"/>
      <c r="B576" s="282" t="s">
        <v>2258</v>
      </c>
      <c r="C576" s="500" t="s">
        <v>2257</v>
      </c>
      <c r="D576" s="104">
        <f>E576+F576</f>
        <v>11291730.369999999</v>
      </c>
      <c r="E576" s="105">
        <f>E577</f>
        <v>11291730.369999999</v>
      </c>
      <c r="F576" s="106">
        <f>F577</f>
        <v>0</v>
      </c>
      <c r="G576" s="104">
        <f>H576+I576</f>
        <v>11291730.369999999</v>
      </c>
      <c r="H576" s="107">
        <f>H577</f>
        <v>11291730.369999999</v>
      </c>
      <c r="I576" s="128">
        <f>I577</f>
        <v>0</v>
      </c>
    </row>
    <row r="577" spans="1:9" ht="17.25" thickBot="1">
      <c r="A577" s="275"/>
      <c r="B577" s="502" t="s">
        <v>201</v>
      </c>
      <c r="C577" s="41" t="s">
        <v>2256</v>
      </c>
      <c r="D577" s="98">
        <f t="shared" si="29"/>
        <v>11291730.369999999</v>
      </c>
      <c r="E577" s="121">
        <f>gog!D838</f>
        <v>11291730.369999999</v>
      </c>
      <c r="F577" s="124"/>
      <c r="G577" s="98">
        <f t="shared" si="30"/>
        <v>11291730.369999999</v>
      </c>
      <c r="H577" s="122">
        <f>gog!G838</f>
        <v>11291730.369999999</v>
      </c>
      <c r="I577" s="157"/>
    </row>
    <row r="578" spans="1:9" ht="32.25" thickBot="1">
      <c r="A578" s="275"/>
      <c r="B578" s="282" t="s">
        <v>2260</v>
      </c>
      <c r="C578" s="500" t="s">
        <v>2255</v>
      </c>
      <c r="D578" s="104">
        <f>E578+F578</f>
        <v>1468800</v>
      </c>
      <c r="E578" s="105">
        <f>E579</f>
        <v>1468800</v>
      </c>
      <c r="F578" s="106">
        <f>F579</f>
        <v>0</v>
      </c>
      <c r="G578" s="104">
        <f>H578+I578</f>
        <v>11291730.369999999</v>
      </c>
      <c r="H578" s="107">
        <f>H579</f>
        <v>11291730.369999999</v>
      </c>
      <c r="I578" s="128">
        <f>I579</f>
        <v>0</v>
      </c>
    </row>
    <row r="579" spans="1:9" ht="17.25" thickBot="1">
      <c r="A579" s="275">
        <v>387</v>
      </c>
      <c r="B579" s="278" t="s">
        <v>201</v>
      </c>
      <c r="C579" s="41" t="s">
        <v>2259</v>
      </c>
      <c r="D579" s="113">
        <f>E579+F579</f>
        <v>1468800</v>
      </c>
      <c r="E579" s="121">
        <f>gog!D840</f>
        <v>1468800</v>
      </c>
      <c r="F579" s="114"/>
      <c r="G579" s="369">
        <f t="shared" si="30"/>
        <v>11291730.369999999</v>
      </c>
      <c r="H579" s="122">
        <f>gog!G838</f>
        <v>11291730.369999999</v>
      </c>
      <c r="I579" s="114"/>
    </row>
    <row r="580" spans="1:9" ht="63.75" thickBot="1">
      <c r="A580" s="371">
        <v>388</v>
      </c>
      <c r="B580" s="381" t="s">
        <v>353</v>
      </c>
      <c r="C580" s="500" t="s">
        <v>635</v>
      </c>
      <c r="D580" s="104">
        <f t="shared" si="29"/>
        <v>787963.91</v>
      </c>
      <c r="E580" s="105">
        <f>SUM(E581:E589)</f>
        <v>787963.91</v>
      </c>
      <c r="F580" s="106">
        <f>SUM(F581:F589)</f>
        <v>0</v>
      </c>
      <c r="G580" s="104">
        <f t="shared" si="30"/>
        <v>787963.91</v>
      </c>
      <c r="H580" s="107">
        <f>SUM(H581:H589)</f>
        <v>787963.91</v>
      </c>
      <c r="I580" s="128">
        <f>SUM(I581:I589)</f>
        <v>0</v>
      </c>
    </row>
    <row r="581" spans="1:9" ht="16.5">
      <c r="A581" s="275"/>
      <c r="B581" s="503" t="s">
        <v>77</v>
      </c>
      <c r="C581" s="382" t="s">
        <v>636</v>
      </c>
      <c r="D581" s="95">
        <f>E581+F581</f>
        <v>585323.28</v>
      </c>
      <c r="E581" s="436">
        <f>gog!D843</f>
        <v>585323.28</v>
      </c>
      <c r="F581" s="378"/>
      <c r="G581" s="95">
        <f>H581+I581</f>
        <v>585323.28</v>
      </c>
      <c r="H581" s="436">
        <f>gog!G843</f>
        <v>585323.28</v>
      </c>
      <c r="I581" s="379"/>
    </row>
    <row r="582" spans="1:9" ht="16.5">
      <c r="A582" s="275"/>
      <c r="B582" s="9" t="s">
        <v>79</v>
      </c>
      <c r="C582" s="525" t="s">
        <v>637</v>
      </c>
      <c r="D582" s="98">
        <f t="shared" ref="D582:D593" si="33">E582+F582</f>
        <v>14230</v>
      </c>
      <c r="E582" s="99">
        <f>gog!D844</f>
        <v>14230</v>
      </c>
      <c r="F582" s="126"/>
      <c r="G582" s="98">
        <f t="shared" ref="G582:G588" si="34">H582+I582</f>
        <v>14230</v>
      </c>
      <c r="H582" s="99">
        <f>gog!G844</f>
        <v>14230</v>
      </c>
      <c r="I582" s="126"/>
    </row>
    <row r="583" spans="1:9" ht="16.5">
      <c r="A583" s="275"/>
      <c r="B583" s="9" t="s">
        <v>81</v>
      </c>
      <c r="C583" s="525" t="s">
        <v>638</v>
      </c>
      <c r="D583" s="98">
        <f t="shared" si="33"/>
        <v>176767.63</v>
      </c>
      <c r="E583" s="99">
        <f>gog!D845</f>
        <v>176767.63</v>
      </c>
      <c r="F583" s="155"/>
      <c r="G583" s="98">
        <f t="shared" si="34"/>
        <v>176767.63</v>
      </c>
      <c r="H583" s="99">
        <f>gog!G845</f>
        <v>176767.63</v>
      </c>
      <c r="I583" s="380"/>
    </row>
    <row r="584" spans="1:9" ht="16.5">
      <c r="A584" s="275"/>
      <c r="B584" s="9" t="s">
        <v>83</v>
      </c>
      <c r="C584" s="525" t="s">
        <v>639</v>
      </c>
      <c r="D584" s="98">
        <f t="shared" si="33"/>
        <v>950</v>
      </c>
      <c r="E584" s="99">
        <f>gog!D847</f>
        <v>950</v>
      </c>
      <c r="F584" s="155"/>
      <c r="G584" s="98">
        <f t="shared" si="34"/>
        <v>950</v>
      </c>
      <c r="H584" s="99">
        <f>gog!G847</f>
        <v>950</v>
      </c>
      <c r="I584" s="380"/>
    </row>
    <row r="585" spans="1:9" ht="16.5">
      <c r="A585" s="275"/>
      <c r="B585" s="9" t="s">
        <v>85</v>
      </c>
      <c r="C585" s="525" t="s">
        <v>640</v>
      </c>
      <c r="D585" s="98">
        <f t="shared" si="33"/>
        <v>0</v>
      </c>
      <c r="E585" s="99">
        <f>gog!D848</f>
        <v>0</v>
      </c>
      <c r="F585" s="155"/>
      <c r="G585" s="98">
        <f t="shared" si="34"/>
        <v>0</v>
      </c>
      <c r="H585" s="99">
        <f>gog!G848</f>
        <v>0</v>
      </c>
      <c r="I585" s="380"/>
    </row>
    <row r="586" spans="1:9" ht="16.5">
      <c r="A586" s="275"/>
      <c r="B586" s="9" t="s">
        <v>87</v>
      </c>
      <c r="C586" s="525" t="s">
        <v>641</v>
      </c>
      <c r="D586" s="98">
        <f t="shared" si="33"/>
        <v>7093</v>
      </c>
      <c r="E586" s="99">
        <f>gog!D849</f>
        <v>7093</v>
      </c>
      <c r="F586" s="155"/>
      <c r="G586" s="98">
        <f>H586</f>
        <v>7093</v>
      </c>
      <c r="H586" s="99">
        <f>gog!G849</f>
        <v>7093</v>
      </c>
      <c r="I586" s="380"/>
    </row>
    <row r="587" spans="1:9" ht="16.5">
      <c r="A587" s="275"/>
      <c r="B587" s="9" t="s">
        <v>91</v>
      </c>
      <c r="C587" s="525" t="s">
        <v>642</v>
      </c>
      <c r="D587" s="98">
        <f t="shared" si="33"/>
        <v>3600</v>
      </c>
      <c r="E587" s="99">
        <f>gog!D852</f>
        <v>3600</v>
      </c>
      <c r="F587" s="155"/>
      <c r="G587" s="98">
        <f t="shared" si="34"/>
        <v>3600</v>
      </c>
      <c r="H587" s="99">
        <f>gog!G852</f>
        <v>3600</v>
      </c>
      <c r="I587" s="380"/>
    </row>
    <row r="588" spans="1:9" ht="16.5">
      <c r="A588" s="275"/>
      <c r="B588" s="473" t="s">
        <v>97</v>
      </c>
      <c r="C588" s="525" t="s">
        <v>643</v>
      </c>
      <c r="D588" s="98">
        <f t="shared" si="33"/>
        <v>0</v>
      </c>
      <c r="E588" s="99">
        <f>gog!D853</f>
        <v>0</v>
      </c>
      <c r="F588" s="126"/>
      <c r="G588" s="98">
        <f t="shared" si="34"/>
        <v>0</v>
      </c>
      <c r="H588" s="99">
        <f>gog!G853</f>
        <v>0</v>
      </c>
      <c r="I588" s="126"/>
    </row>
    <row r="589" spans="1:9" ht="17.25" thickBot="1">
      <c r="A589" s="275">
        <v>390</v>
      </c>
      <c r="B589" s="504" t="s">
        <v>100</v>
      </c>
      <c r="C589" s="521" t="s">
        <v>644</v>
      </c>
      <c r="D589" s="113">
        <f t="shared" si="33"/>
        <v>0</v>
      </c>
      <c r="E589" s="121">
        <f>gog!D855</f>
        <v>0</v>
      </c>
      <c r="F589" s="114"/>
      <c r="G589" s="101">
        <f t="shared" si="30"/>
        <v>0</v>
      </c>
      <c r="H589" s="121">
        <f>gog!G855</f>
        <v>0</v>
      </c>
      <c r="I589" s="114"/>
    </row>
    <row r="590" spans="1:9" ht="32.25" thickBot="1">
      <c r="A590" s="275"/>
      <c r="B590" s="282" t="s">
        <v>653</v>
      </c>
      <c r="C590" s="500" t="s">
        <v>645</v>
      </c>
      <c r="D590" s="104">
        <f t="shared" si="33"/>
        <v>0</v>
      </c>
      <c r="E590" s="105">
        <f>E593</f>
        <v>0</v>
      </c>
      <c r="F590" s="106">
        <f>F593</f>
        <v>0</v>
      </c>
      <c r="G590" s="104">
        <f t="shared" si="30"/>
        <v>0</v>
      </c>
      <c r="H590" s="107">
        <f>H593</f>
        <v>0</v>
      </c>
      <c r="I590" s="128">
        <f>I593</f>
        <v>0</v>
      </c>
    </row>
    <row r="591" spans="1:9" ht="16.5">
      <c r="A591" s="275"/>
      <c r="B591" s="495" t="s">
        <v>79</v>
      </c>
      <c r="C591" s="507" t="s">
        <v>646</v>
      </c>
      <c r="D591" s="387">
        <f>E591+F591</f>
        <v>0</v>
      </c>
      <c r="E591" s="537"/>
      <c r="F591" s="538"/>
      <c r="G591" s="522">
        <f>H591+I591</f>
        <v>0</v>
      </c>
      <c r="H591" s="539"/>
      <c r="I591" s="540"/>
    </row>
    <row r="592" spans="1:9" ht="16.5">
      <c r="A592" s="275"/>
      <c r="B592" s="503" t="s">
        <v>91</v>
      </c>
      <c r="C592" s="501" t="s">
        <v>651</v>
      </c>
      <c r="D592" s="541">
        <f>E592+F592</f>
        <v>0</v>
      </c>
      <c r="E592" s="153"/>
      <c r="F592" s="126"/>
      <c r="G592" s="542">
        <f>H592+I592</f>
        <v>0</v>
      </c>
      <c r="H592" s="499"/>
      <c r="I592" s="543"/>
    </row>
    <row r="593" spans="1:9" ht="17.25" thickBot="1">
      <c r="A593" s="275"/>
      <c r="B593" s="278" t="s">
        <v>201</v>
      </c>
      <c r="C593" s="41" t="s">
        <v>652</v>
      </c>
      <c r="D593" s="113">
        <f t="shared" si="33"/>
        <v>0</v>
      </c>
      <c r="E593" s="121"/>
      <c r="F593" s="114"/>
      <c r="G593" s="369">
        <f t="shared" si="30"/>
        <v>0</v>
      </c>
      <c r="H593" s="122"/>
      <c r="I593" s="114"/>
    </row>
    <row r="594" spans="1:9" ht="17.25" thickBot="1">
      <c r="A594" s="275"/>
      <c r="B594" s="294" t="s">
        <v>69</v>
      </c>
      <c r="C594" s="519" t="s">
        <v>2287</v>
      </c>
      <c r="D594" s="93"/>
      <c r="E594" s="165">
        <f>E595</f>
        <v>0</v>
      </c>
      <c r="F594" s="165">
        <f>F595</f>
        <v>71300</v>
      </c>
      <c r="G594" s="93"/>
      <c r="H594" s="165">
        <f>H595</f>
        <v>0</v>
      </c>
      <c r="I594" s="165">
        <f>I595</f>
        <v>71300</v>
      </c>
    </row>
    <row r="595" spans="1:9" ht="17.25" thickBot="1">
      <c r="A595" s="275"/>
      <c r="B595" s="19" t="s">
        <v>73</v>
      </c>
      <c r="C595" s="515" t="s">
        <v>2246</v>
      </c>
      <c r="D595" s="95"/>
      <c r="E595" s="169">
        <f>E597</f>
        <v>0</v>
      </c>
      <c r="F595" s="170">
        <f>F599</f>
        <v>71300</v>
      </c>
      <c r="G595" s="95"/>
      <c r="H595" s="169">
        <f>H597</f>
        <v>0</v>
      </c>
      <c r="I595" s="170">
        <f>I599</f>
        <v>71300</v>
      </c>
    </row>
    <row r="596" spans="1:9" ht="17.25" thickBot="1">
      <c r="A596" s="275">
        <v>391</v>
      </c>
      <c r="B596" s="294" t="s">
        <v>69</v>
      </c>
      <c r="C596" s="519" t="s">
        <v>2265</v>
      </c>
      <c r="D596" s="93"/>
      <c r="E596" s="165">
        <f>E597</f>
        <v>0</v>
      </c>
      <c r="F596" s="165">
        <f>F597</f>
        <v>0</v>
      </c>
      <c r="G596" s="93"/>
      <c r="H596" s="165">
        <f>H597</f>
        <v>0</v>
      </c>
      <c r="I596" s="165">
        <f>I597</f>
        <v>0</v>
      </c>
    </row>
    <row r="597" spans="1:9" ht="17.25" thickBot="1">
      <c r="A597" s="275">
        <v>392</v>
      </c>
      <c r="B597" s="19" t="s">
        <v>73</v>
      </c>
      <c r="C597" s="515" t="s">
        <v>2285</v>
      </c>
      <c r="D597" s="95"/>
      <c r="E597" s="169">
        <f>gog!D869</f>
        <v>0</v>
      </c>
      <c r="F597" s="170"/>
      <c r="G597" s="95"/>
      <c r="H597" s="169">
        <f>gog!G869</f>
        <v>0</v>
      </c>
      <c r="I597" s="170"/>
    </row>
    <row r="598" spans="1:9" ht="17.25" thickBot="1">
      <c r="A598" s="371">
        <v>394</v>
      </c>
      <c r="B598" s="550" t="s">
        <v>69</v>
      </c>
      <c r="C598" s="551" t="s">
        <v>2286</v>
      </c>
      <c r="D598" s="552"/>
      <c r="E598" s="553"/>
      <c r="F598" s="553">
        <f>F599</f>
        <v>71300</v>
      </c>
      <c r="G598" s="552"/>
      <c r="H598" s="554"/>
      <c r="I598" s="555">
        <f>I599</f>
        <v>71300</v>
      </c>
    </row>
    <row r="599" spans="1:9" ht="27" thickBot="1">
      <c r="A599" s="275">
        <v>395</v>
      </c>
      <c r="B599" s="548" t="s">
        <v>997</v>
      </c>
      <c r="C599" s="549" t="s">
        <v>2244</v>
      </c>
      <c r="D599" s="101"/>
      <c r="E599" s="199"/>
      <c r="F599" s="200">
        <f>gog!E879</f>
        <v>71300</v>
      </c>
      <c r="G599" s="101"/>
      <c r="H599" s="201"/>
      <c r="I599" s="190">
        <f>gog!H879</f>
        <v>71300</v>
      </c>
    </row>
    <row r="600" spans="1:9" ht="17.25" thickBot="1">
      <c r="A600" s="275"/>
      <c r="B600" s="548"/>
      <c r="C600" s="549" t="s">
        <v>2245</v>
      </c>
      <c r="D600" s="101"/>
      <c r="E600" s="199"/>
      <c r="F600" s="200"/>
      <c r="G600" s="101"/>
      <c r="H600" s="201"/>
      <c r="I600" s="190"/>
    </row>
    <row r="601" spans="1:9" ht="17.25" thickBot="1">
      <c r="A601" s="275">
        <v>396</v>
      </c>
      <c r="B601" s="284" t="s">
        <v>212</v>
      </c>
      <c r="C601" s="526" t="s">
        <v>213</v>
      </c>
      <c r="D601" s="171" t="e">
        <f>D95+D187+D204+D235+D258+D359+D451+D559+D596+D174</f>
        <v>#REF!</v>
      </c>
      <c r="E601" s="171" t="e">
        <f>E95+E174+E187+E204+E235+E258+E359+E451+E559+E594</f>
        <v>#REF!</v>
      </c>
      <c r="F601" s="171" t="e">
        <f>F95+F174+F187+F204+F235+F258+F359+F451+F559+F594</f>
        <v>#REF!</v>
      </c>
      <c r="G601" s="171" t="e">
        <f>G95+G174+G187+G204+G235+G258+G359+G451+G559+G596</f>
        <v>#REF!</v>
      </c>
      <c r="H601" s="171" t="e">
        <f>H95+H174+H187+H204+H235+H258+H359+H451+H559+H594</f>
        <v>#REF!</v>
      </c>
      <c r="I601" s="171" t="e">
        <f>I95+I174+I187+I204+I235+I258+I359+I451+I559+I594</f>
        <v>#REF!</v>
      </c>
    </row>
    <row r="602" spans="1:9" ht="27" thickBot="1">
      <c r="A602" s="275">
        <v>397</v>
      </c>
      <c r="B602" s="285" t="s">
        <v>214</v>
      </c>
      <c r="C602" s="527" t="s">
        <v>215</v>
      </c>
      <c r="D602" s="172" t="e">
        <f t="shared" ref="D602:I602" si="35">D90-D601</f>
        <v>#REF!</v>
      </c>
      <c r="E602" s="172" t="e">
        <f t="shared" si="35"/>
        <v>#REF!</v>
      </c>
      <c r="F602" s="172" t="e">
        <f t="shared" si="35"/>
        <v>#REF!</v>
      </c>
      <c r="G602" s="172" t="e">
        <f t="shared" si="35"/>
        <v>#REF!</v>
      </c>
      <c r="H602" s="172" t="e">
        <f t="shared" si="35"/>
        <v>#REF!</v>
      </c>
      <c r="I602" s="172" t="e">
        <f t="shared" si="35"/>
        <v>#REF!</v>
      </c>
    </row>
    <row r="603" spans="1:9" ht="16.5">
      <c r="A603" s="275">
        <v>398</v>
      </c>
      <c r="B603" s="531" t="s">
        <v>50</v>
      </c>
      <c r="C603" s="528" t="s">
        <v>974</v>
      </c>
      <c r="D603" s="260">
        <f t="shared" si="29"/>
        <v>71300</v>
      </c>
      <c r="E603" s="261">
        <f>E598</f>
        <v>0</v>
      </c>
      <c r="F603" s="261">
        <f>F599</f>
        <v>71300</v>
      </c>
      <c r="G603" s="260">
        <f t="shared" si="30"/>
        <v>0</v>
      </c>
      <c r="H603" s="261">
        <f>H596</f>
        <v>0</v>
      </c>
      <c r="I603" s="262">
        <f>I596</f>
        <v>0</v>
      </c>
    </row>
    <row r="604" spans="1:9" ht="16.5">
      <c r="A604" s="295"/>
      <c r="B604" s="302"/>
      <c r="C604" s="529"/>
      <c r="D604" s="300"/>
      <c r="E604" s="266" t="s">
        <v>838</v>
      </c>
      <c r="F604" s="301"/>
      <c r="G604" s="300"/>
      <c r="H604" s="266" t="s">
        <v>839</v>
      </c>
      <c r="I604" s="301"/>
    </row>
    <row r="605" spans="1:9" ht="26.25">
      <c r="A605" s="275">
        <v>399</v>
      </c>
      <c r="B605" s="286" t="s">
        <v>837</v>
      </c>
      <c r="C605" s="530" t="s">
        <v>215</v>
      </c>
      <c r="D605" s="264"/>
      <c r="E605" s="303" t="e">
        <f>E88-E89-(E601-E603)</f>
        <v>#REF!</v>
      </c>
      <c r="F605" s="265"/>
      <c r="G605" s="264"/>
      <c r="H605" s="303" t="e">
        <f>H88-H89-(H601-H603)</f>
        <v>#REF!</v>
      </c>
      <c r="I605" s="265"/>
    </row>
    <row r="606" spans="1:9" ht="16.5">
      <c r="A606" s="204"/>
      <c r="B606" s="297"/>
      <c r="C606" s="298"/>
      <c r="D606" s="113"/>
      <c r="E606" s="299" t="s">
        <v>1670</v>
      </c>
      <c r="F606" s="299"/>
      <c r="G606" s="113"/>
      <c r="H606" s="299" t="s">
        <v>1671</v>
      </c>
      <c r="I606" s="299"/>
    </row>
    <row r="607" spans="1:9" ht="16.5">
      <c r="A607" s="204"/>
      <c r="B607" s="297"/>
      <c r="C607" s="361" t="s">
        <v>52</v>
      </c>
      <c r="D607" s="30" t="s">
        <v>1675</v>
      </c>
      <c r="E607" s="359" t="e">
        <f>E90-E86</f>
        <v>#REF!</v>
      </c>
      <c r="F607" s="359"/>
      <c r="G607" s="78"/>
      <c r="H607" s="359" t="e">
        <f>H90-H86</f>
        <v>#REF!</v>
      </c>
      <c r="I607" s="299"/>
    </row>
    <row r="608" spans="1:9" ht="31.5">
      <c r="A608" s="204"/>
      <c r="B608" s="297"/>
      <c r="C608" s="362" t="s">
        <v>212</v>
      </c>
      <c r="D608" s="363" t="s">
        <v>1674</v>
      </c>
      <c r="E608" s="360" t="e">
        <f>E601-E596</f>
        <v>#REF!</v>
      </c>
      <c r="F608" s="360"/>
      <c r="G608" s="358"/>
      <c r="H608" s="360" t="e">
        <f>H601-H596</f>
        <v>#REF!</v>
      </c>
      <c r="I608" s="299"/>
    </row>
    <row r="609" spans="1:9" ht="16.5">
      <c r="A609" s="204"/>
      <c r="B609" s="297"/>
      <c r="C609" s="298"/>
      <c r="D609" s="113"/>
      <c r="E609" s="299"/>
      <c r="F609" s="299"/>
      <c r="G609" s="113"/>
      <c r="H609" s="299"/>
      <c r="I609" s="299"/>
    </row>
    <row r="610" spans="1:9" ht="16.5">
      <c r="A610" s="204"/>
      <c r="B610" s="297"/>
      <c r="C610" s="298"/>
      <c r="D610" s="113"/>
      <c r="E610" s="299"/>
      <c r="F610" s="299"/>
      <c r="G610" s="113"/>
      <c r="H610" s="299"/>
      <c r="I610" s="299"/>
    </row>
    <row r="611" spans="1:9" ht="16.5">
      <c r="A611" s="204"/>
      <c r="B611" s="297"/>
      <c r="C611" s="298"/>
      <c r="D611" s="113"/>
      <c r="E611" s="299"/>
      <c r="F611" s="299"/>
      <c r="G611" s="113"/>
      <c r="H611" s="299"/>
      <c r="I611" s="299"/>
    </row>
    <row r="612" spans="1:9" ht="16.5">
      <c r="A612" s="204"/>
      <c r="B612" s="297"/>
      <c r="C612" s="298"/>
      <c r="D612" s="113"/>
      <c r="E612" s="299"/>
      <c r="F612" s="299"/>
      <c r="G612" s="113"/>
      <c r="H612" s="299"/>
      <c r="I612" s="299"/>
    </row>
    <row r="613" spans="1:9" ht="16.5">
      <c r="A613" s="204"/>
      <c r="B613" s="297"/>
      <c r="C613" s="298"/>
      <c r="D613" s="113"/>
      <c r="E613" s="299"/>
      <c r="F613" s="299"/>
      <c r="G613" s="113"/>
      <c r="H613" s="299"/>
      <c r="I613" s="299"/>
    </row>
    <row r="614" spans="1:9" ht="16.5">
      <c r="A614" s="204"/>
      <c r="B614" s="297"/>
      <c r="C614" s="298"/>
      <c r="D614" s="113"/>
      <c r="E614" s="299"/>
      <c r="F614" s="299"/>
      <c r="G614" s="113"/>
      <c r="H614" s="299"/>
      <c r="I614" s="299"/>
    </row>
    <row r="615" spans="1:9" ht="16.5">
      <c r="A615" s="204"/>
      <c r="B615" s="297"/>
      <c r="C615" s="298"/>
      <c r="D615" s="113"/>
      <c r="E615" s="299"/>
      <c r="F615" s="299"/>
      <c r="G615" s="113"/>
      <c r="H615" s="299"/>
      <c r="I615" s="299"/>
    </row>
    <row r="616" spans="1:9" ht="16.5">
      <c r="A616" s="204"/>
      <c r="B616" s="297"/>
      <c r="C616" s="298"/>
      <c r="D616" s="113"/>
      <c r="E616" s="299"/>
      <c r="F616" s="299"/>
      <c r="G616" s="113"/>
      <c r="H616" s="299"/>
      <c r="I616" s="299"/>
    </row>
    <row r="617" spans="1:9" ht="17.25" thickBot="1">
      <c r="A617" s="204"/>
      <c r="B617" s="297"/>
      <c r="C617" s="298"/>
      <c r="D617" s="113"/>
      <c r="E617" s="299"/>
      <c r="F617" s="299"/>
      <c r="G617" s="113"/>
      <c r="H617" s="299"/>
      <c r="I617" s="299"/>
    </row>
    <row r="618" spans="1:9" ht="16.5">
      <c r="A618" s="326"/>
      <c r="B618" s="2672" t="s">
        <v>74</v>
      </c>
      <c r="C618" s="2674" t="s">
        <v>216</v>
      </c>
      <c r="D618" s="2668" t="s">
        <v>2043</v>
      </c>
      <c r="E618" s="2669"/>
      <c r="F618" s="2670"/>
      <c r="G618" s="2668" t="s">
        <v>1016</v>
      </c>
      <c r="H618" s="2669"/>
      <c r="I618" s="2671"/>
    </row>
    <row r="619" spans="1:9" ht="66">
      <c r="A619" s="327"/>
      <c r="B619" s="2680"/>
      <c r="C619" s="2661"/>
      <c r="D619" s="90" t="s">
        <v>2075</v>
      </c>
      <c r="E619" s="91" t="s">
        <v>1018</v>
      </c>
      <c r="F619" s="92" t="s">
        <v>1021</v>
      </c>
      <c r="G619" s="90" t="s">
        <v>2075</v>
      </c>
      <c r="H619" s="91" t="s">
        <v>2077</v>
      </c>
      <c r="I619" s="328" t="s">
        <v>1021</v>
      </c>
    </row>
    <row r="620" spans="1:9" ht="17.25" thickBot="1">
      <c r="A620" s="329"/>
      <c r="B620" s="313"/>
      <c r="C620" s="314"/>
      <c r="D620" s="330" t="s">
        <v>840</v>
      </c>
      <c r="E620" s="330">
        <v>9</v>
      </c>
      <c r="F620" s="331">
        <v>10</v>
      </c>
      <c r="G620" s="330" t="s">
        <v>841</v>
      </c>
      <c r="H620" s="330">
        <v>17</v>
      </c>
      <c r="I620" s="332">
        <v>18</v>
      </c>
    </row>
    <row r="621" spans="1:9" ht="43.5">
      <c r="A621" s="321">
        <v>410</v>
      </c>
      <c r="B621" s="322" t="s">
        <v>1010</v>
      </c>
      <c r="C621" s="366" t="s">
        <v>998</v>
      </c>
      <c r="D621" s="323">
        <f t="shared" ref="D621:D626" si="36">E621+F621</f>
        <v>6036000</v>
      </c>
      <c r="E621" s="96">
        <f>gog!D900</f>
        <v>6036000</v>
      </c>
      <c r="F621" s="152">
        <f>gog!E900</f>
        <v>0</v>
      </c>
      <c r="G621" s="323">
        <f t="shared" ref="G621:G626" si="37">H621+I621</f>
        <v>0</v>
      </c>
      <c r="H621" s="324">
        <f>gog!G900</f>
        <v>0</v>
      </c>
      <c r="I621" s="325">
        <f>gog!H900</f>
        <v>0</v>
      </c>
    </row>
    <row r="622" spans="1:9" ht="43.5">
      <c r="A622" s="320">
        <v>411</v>
      </c>
      <c r="B622" s="287" t="s">
        <v>1011</v>
      </c>
      <c r="C622" s="61" t="s">
        <v>999</v>
      </c>
      <c r="D622" s="80">
        <f t="shared" si="36"/>
        <v>0</v>
      </c>
      <c r="E622" s="96">
        <f>gog!D901</f>
        <v>0</v>
      </c>
      <c r="F622" s="152">
        <f>gog!E901</f>
        <v>0</v>
      </c>
      <c r="G622" s="80">
        <f t="shared" si="37"/>
        <v>0</v>
      </c>
      <c r="H622" s="324">
        <f>gog!G901</f>
        <v>0</v>
      </c>
      <c r="I622" s="325">
        <f>gog!H901</f>
        <v>0</v>
      </c>
    </row>
    <row r="623" spans="1:9" ht="51.75">
      <c r="A623" s="320">
        <v>412</v>
      </c>
      <c r="B623" s="288" t="s">
        <v>2152</v>
      </c>
      <c r="C623" s="365" t="s">
        <v>1001</v>
      </c>
      <c r="D623" s="80">
        <f t="shared" si="36"/>
        <v>0</v>
      </c>
      <c r="E623" s="96">
        <f>gog!D902</f>
        <v>0</v>
      </c>
      <c r="F623" s="152">
        <f>gog!E902</f>
        <v>0</v>
      </c>
      <c r="G623" s="80">
        <f t="shared" si="37"/>
        <v>0</v>
      </c>
      <c r="H623" s="324">
        <f>gog!G902</f>
        <v>0</v>
      </c>
      <c r="I623" s="325">
        <f>gog!H902</f>
        <v>0</v>
      </c>
    </row>
    <row r="624" spans="1:9" ht="51.75">
      <c r="A624" s="320">
        <v>413</v>
      </c>
      <c r="B624" s="288" t="s">
        <v>2084</v>
      </c>
      <c r="C624" s="61" t="s">
        <v>1002</v>
      </c>
      <c r="D624" s="80">
        <f t="shared" si="36"/>
        <v>0</v>
      </c>
      <c r="E624" s="96">
        <f>gog!D903</f>
        <v>0</v>
      </c>
      <c r="F624" s="152">
        <f>gog!E903</f>
        <v>0</v>
      </c>
      <c r="G624" s="80">
        <f t="shared" si="37"/>
        <v>0</v>
      </c>
      <c r="H624" s="324">
        <f>gog!G903</f>
        <v>0</v>
      </c>
      <c r="I624" s="325">
        <f>gog!H903</f>
        <v>0</v>
      </c>
    </row>
    <row r="625" spans="1:9" ht="51.75">
      <c r="A625" s="320">
        <v>414</v>
      </c>
      <c r="B625" s="288" t="s">
        <v>1456</v>
      </c>
      <c r="C625" s="365" t="s">
        <v>1000</v>
      </c>
      <c r="D625" s="80">
        <f t="shared" si="36"/>
        <v>-4636000</v>
      </c>
      <c r="E625" s="96">
        <f>gog!D904</f>
        <v>-4636000</v>
      </c>
      <c r="F625" s="152">
        <f>gog!E904</f>
        <v>0</v>
      </c>
      <c r="G625" s="80">
        <f t="shared" si="37"/>
        <v>0</v>
      </c>
      <c r="H625" s="324">
        <f>gog!G904</f>
        <v>0</v>
      </c>
      <c r="I625" s="325">
        <f>gog!H904</f>
        <v>0</v>
      </c>
    </row>
    <row r="626" spans="1:9" ht="38.25">
      <c r="A626" s="320">
        <v>415</v>
      </c>
      <c r="B626" s="319" t="s">
        <v>1457</v>
      </c>
      <c r="C626" s="61" t="s">
        <v>1003</v>
      </c>
      <c r="D626" s="80">
        <f t="shared" si="36"/>
        <v>0</v>
      </c>
      <c r="E626" s="96">
        <f>gog!D905</f>
        <v>0</v>
      </c>
      <c r="F626" s="152">
        <f>gog!E905</f>
        <v>0</v>
      </c>
      <c r="G626" s="80">
        <f t="shared" si="37"/>
        <v>0</v>
      </c>
      <c r="H626" s="324">
        <f>gog!G905</f>
        <v>0</v>
      </c>
      <c r="I626" s="325">
        <f>gog!H905</f>
        <v>0</v>
      </c>
    </row>
    <row r="627" spans="1:9" ht="26.25">
      <c r="A627" s="320">
        <v>416</v>
      </c>
      <c r="B627" s="288" t="s">
        <v>1458</v>
      </c>
      <c r="C627" s="61" t="s">
        <v>1004</v>
      </c>
      <c r="D627" s="80">
        <f>D628+D629+D630+D631</f>
        <v>1643910.1599999666</v>
      </c>
      <c r="E627" s="96">
        <f>gog!D906</f>
        <v>1154960.1599999666</v>
      </c>
      <c r="F627" s="152">
        <f>gog!E906</f>
        <v>488950</v>
      </c>
      <c r="G627" s="80">
        <f>(G628+G629)+(G630+G631)</f>
        <v>11091718.25999999</v>
      </c>
      <c r="H627" s="324">
        <f>gog!G906</f>
        <v>-352307.26000000536</v>
      </c>
      <c r="I627" s="325">
        <f>gog!H906</f>
        <v>-2607675.4899999984</v>
      </c>
    </row>
    <row r="628" spans="1:9" ht="26.25">
      <c r="A628" s="320">
        <v>417</v>
      </c>
      <c r="B628" s="288" t="s">
        <v>1662</v>
      </c>
      <c r="C628" s="365" t="s">
        <v>1005</v>
      </c>
      <c r="D628" s="291">
        <f>E628+E89</f>
        <v>-277518900</v>
      </c>
      <c r="E628" s="96">
        <f>gog!D907</f>
        <v>-277590200</v>
      </c>
      <c r="F628" s="152">
        <f>gog!E907</f>
        <v>0</v>
      </c>
      <c r="G628" s="291">
        <f>H628+H89</f>
        <v>-72274432.750000015</v>
      </c>
      <c r="H628" s="324">
        <f>gog!G907</f>
        <v>-72345732.750000015</v>
      </c>
      <c r="I628" s="325">
        <f>gog!H907</f>
        <v>0</v>
      </c>
    </row>
    <row r="629" spans="1:9" ht="26.25">
      <c r="A629" s="320">
        <v>418</v>
      </c>
      <c r="B629" s="288" t="s">
        <v>1459</v>
      </c>
      <c r="C629" s="61" t="s">
        <v>1006</v>
      </c>
      <c r="D629" s="80">
        <f>F629+F89</f>
        <v>-63888700</v>
      </c>
      <c r="E629" s="96">
        <f>gog!D908</f>
        <v>0</v>
      </c>
      <c r="F629" s="152">
        <f>gog!E908</f>
        <v>-63888700</v>
      </c>
      <c r="G629" s="80"/>
      <c r="H629" s="324">
        <f>gog!G908</f>
        <v>0</v>
      </c>
      <c r="I629" s="325">
        <f>gog!H908</f>
        <v>-13980401.009999998</v>
      </c>
    </row>
    <row r="630" spans="1:9" ht="26.25">
      <c r="A630" s="320">
        <v>419</v>
      </c>
      <c r="B630" s="288" t="s">
        <v>1663</v>
      </c>
      <c r="C630" s="365" t="s">
        <v>1007</v>
      </c>
      <c r="D630" s="291">
        <f>E630-E603</f>
        <v>278745160.15999997</v>
      </c>
      <c r="E630" s="96">
        <f>gog!D909</f>
        <v>278745160.15999997</v>
      </c>
      <c r="F630" s="152">
        <f>gog!E909</f>
        <v>0</v>
      </c>
      <c r="G630" s="291">
        <f>H630-H603</f>
        <v>71993425.49000001</v>
      </c>
      <c r="H630" s="324">
        <f>gog!G909</f>
        <v>71993425.49000001</v>
      </c>
      <c r="I630" s="325">
        <f>gog!H909</f>
        <v>0</v>
      </c>
    </row>
    <row r="631" spans="1:9" ht="26.25">
      <c r="A631" s="320">
        <v>420</v>
      </c>
      <c r="B631" s="288" t="s">
        <v>1462</v>
      </c>
      <c r="C631" s="61" t="s">
        <v>1008</v>
      </c>
      <c r="D631" s="80">
        <f>F631-F603</f>
        <v>64306350</v>
      </c>
      <c r="E631" s="96">
        <f>gog!D910</f>
        <v>0</v>
      </c>
      <c r="F631" s="152">
        <f>gog!E910</f>
        <v>64377650</v>
      </c>
      <c r="G631" s="80">
        <f>I631-I603</f>
        <v>11372725.520000001</v>
      </c>
      <c r="H631" s="324">
        <f>gog!G910</f>
        <v>0</v>
      </c>
      <c r="I631" s="325">
        <f>gog!H910</f>
        <v>11372725.520000001</v>
      </c>
    </row>
    <row r="632" spans="1:9" ht="30">
      <c r="A632" s="320">
        <v>421</v>
      </c>
      <c r="B632" s="289" t="s">
        <v>2083</v>
      </c>
      <c r="C632" s="202" t="s">
        <v>1009</v>
      </c>
      <c r="D632" s="179">
        <f>D621+D623+D625+D627</f>
        <v>3043910.1599999666</v>
      </c>
      <c r="E632" s="179">
        <f>E621+E623+E625+E627</f>
        <v>2554960.1599999666</v>
      </c>
      <c r="F632" s="180">
        <f>mo!L255</f>
        <v>488950</v>
      </c>
      <c r="G632" s="179">
        <f>G625+G626+G627</f>
        <v>11091718.25999999</v>
      </c>
      <c r="H632" s="179">
        <f>H621+H623+H625+H627</f>
        <v>-352307.26000000536</v>
      </c>
      <c r="I632" s="179">
        <f>mo!M255</f>
        <v>-2607675.4899999984</v>
      </c>
    </row>
    <row r="633" spans="1:9" ht="14.25">
      <c r="A633" s="320">
        <v>422</v>
      </c>
      <c r="E633" s="367" t="s">
        <v>840</v>
      </c>
      <c r="H633" s="65">
        <f>H635-H634</f>
        <v>-33554643.109999999</v>
      </c>
      <c r="I633" s="65">
        <f>I635-I634</f>
        <v>-5229751.3499999996</v>
      </c>
    </row>
    <row r="634" spans="1:9" ht="15">
      <c r="A634" s="320">
        <v>423</v>
      </c>
      <c r="B634" s="64" t="s">
        <v>836</v>
      </c>
      <c r="E634" s="368">
        <f>D621+D623+D625+D628+D630</f>
        <v>2626260.1599999666</v>
      </c>
      <c r="H634" s="248">
        <v>33554643.109999999</v>
      </c>
      <c r="I634" s="65">
        <f>mo!M263</f>
        <v>5229751.3499999996</v>
      </c>
    </row>
    <row r="635" spans="1:9" ht="14.25">
      <c r="A635" s="320">
        <v>424</v>
      </c>
      <c r="B635" s="64" t="s">
        <v>852</v>
      </c>
      <c r="D635" t="s">
        <v>771</v>
      </c>
      <c r="H635" s="65"/>
      <c r="I635" s="65"/>
    </row>
    <row r="636" spans="1:9" ht="15">
      <c r="A636" s="320">
        <v>425</v>
      </c>
      <c r="B636" s="64" t="s">
        <v>783</v>
      </c>
      <c r="G636" s="248"/>
      <c r="H636" s="258"/>
      <c r="I636" s="248"/>
    </row>
    <row r="637" spans="1:9" ht="15">
      <c r="B637" s="72" t="s">
        <v>67</v>
      </c>
      <c r="C637" s="11"/>
      <c r="D637" s="11"/>
      <c r="E637" s="74" t="s">
        <v>767</v>
      </c>
      <c r="F637" s="13"/>
      <c r="G637" s="256"/>
      <c r="H637" s="14" t="s">
        <v>778</v>
      </c>
      <c r="I637" s="4"/>
    </row>
    <row r="638" spans="1:9" ht="15">
      <c r="B638" s="2"/>
      <c r="C638" s="2"/>
      <c r="D638" s="2"/>
      <c r="E638" s="3"/>
      <c r="F638" s="3"/>
      <c r="G638" s="257"/>
      <c r="H638" s="3"/>
    </row>
    <row r="639" spans="1:9" ht="14.25">
      <c r="B639" s="72" t="s">
        <v>983</v>
      </c>
      <c r="C639" s="11"/>
      <c r="D639" s="11"/>
      <c r="E639" s="75" t="s">
        <v>768</v>
      </c>
      <c r="F639" s="13"/>
      <c r="G639" s="13"/>
      <c r="H639" s="3"/>
      <c r="I639" t="s">
        <v>1292</v>
      </c>
    </row>
    <row r="640" spans="1:9">
      <c r="B640" s="73"/>
      <c r="C640" s="73"/>
      <c r="D640" s="73"/>
      <c r="E640" s="13"/>
      <c r="F640" s="13"/>
      <c r="G640" s="13"/>
      <c r="H640" s="3"/>
    </row>
    <row r="641" spans="2:8" ht="12.75">
      <c r="B641" s="72" t="s">
        <v>68</v>
      </c>
      <c r="C641" s="11"/>
      <c r="D641" s="11"/>
      <c r="E641" s="76" t="s">
        <v>769</v>
      </c>
      <c r="F641" s="13"/>
      <c r="G641" s="13"/>
      <c r="H641" s="3"/>
    </row>
    <row r="642" spans="2:8">
      <c r="B642" s="2"/>
      <c r="C642" s="2"/>
      <c r="D642" s="2"/>
      <c r="E642" s="3"/>
      <c r="F642" s="3"/>
      <c r="G642" s="3"/>
      <c r="H642" s="3"/>
    </row>
    <row r="643" spans="2:8">
      <c r="B643" s="2"/>
      <c r="C643" s="2"/>
      <c r="D643" s="2"/>
      <c r="E643" s="3"/>
      <c r="F643" s="3"/>
      <c r="G643" s="3"/>
      <c r="H643" s="3"/>
    </row>
    <row r="644" spans="2:8">
      <c r="B644" s="2"/>
      <c r="C644" s="2"/>
      <c r="D644" s="2"/>
      <c r="E644" s="3"/>
      <c r="F644" s="3"/>
      <c r="G644" s="3"/>
      <c r="H644" s="3"/>
    </row>
    <row r="645" spans="2:8">
      <c r="B645" s="2"/>
      <c r="C645" s="2"/>
      <c r="D645" s="2"/>
      <c r="E645" s="3"/>
      <c r="F645" s="3"/>
      <c r="G645" s="3"/>
      <c r="H645" s="3"/>
    </row>
    <row r="646" spans="2:8">
      <c r="B646" s="2"/>
      <c r="C646" s="2"/>
      <c r="D646" s="2"/>
      <c r="E646" s="3"/>
      <c r="F646" s="3"/>
      <c r="G646" s="3"/>
      <c r="H646" s="3"/>
    </row>
    <row r="647" spans="2:8">
      <c r="B647" s="2"/>
      <c r="C647" s="2"/>
      <c r="D647" s="2"/>
      <c r="E647" s="3"/>
      <c r="F647" s="3"/>
      <c r="G647" s="3"/>
      <c r="H647" s="3"/>
    </row>
    <row r="648" spans="2:8">
      <c r="B648" s="2"/>
      <c r="C648" s="2"/>
      <c r="D648" s="2"/>
      <c r="E648" s="3"/>
      <c r="F648" s="3"/>
      <c r="G648" s="3"/>
      <c r="H648" s="3"/>
    </row>
    <row r="649" spans="2:8">
      <c r="B649" s="2"/>
      <c r="C649" s="2"/>
      <c r="D649" s="2"/>
      <c r="E649" s="3"/>
      <c r="F649" s="3"/>
      <c r="G649" s="3"/>
      <c r="H649" s="3"/>
    </row>
    <row r="650" spans="2:8">
      <c r="B650" s="2"/>
      <c r="C650" s="2"/>
      <c r="D650" s="2"/>
      <c r="E650" s="3"/>
      <c r="F650" s="3"/>
      <c r="G650" s="3"/>
      <c r="H650" s="3"/>
    </row>
    <row r="651" spans="2:8">
      <c r="B651" s="2"/>
      <c r="C651" s="2"/>
      <c r="D651" s="2"/>
      <c r="E651" s="3"/>
      <c r="F651" s="3"/>
      <c r="G651" s="3"/>
      <c r="H651" s="3"/>
    </row>
    <row r="652" spans="2:8">
      <c r="B652" s="2"/>
      <c r="C652" s="2"/>
      <c r="D652" s="2"/>
      <c r="E652" s="3"/>
      <c r="F652" s="3"/>
      <c r="G652" s="3"/>
      <c r="H652" s="3"/>
    </row>
    <row r="653" spans="2:8">
      <c r="B653" s="2"/>
      <c r="C653" s="2"/>
      <c r="D653" s="2"/>
      <c r="E653" s="3"/>
      <c r="F653" s="3"/>
      <c r="G653" s="3"/>
      <c r="H653" s="3"/>
    </row>
    <row r="654" spans="2:8">
      <c r="B654" s="2"/>
      <c r="C654" s="2"/>
      <c r="D654" s="2"/>
      <c r="E654" s="3"/>
      <c r="F654" s="3"/>
      <c r="G654" s="3"/>
      <c r="H654" s="3"/>
    </row>
    <row r="655" spans="2:8">
      <c r="B655" s="2"/>
      <c r="C655" s="2"/>
      <c r="D655" s="2"/>
      <c r="E655" s="3"/>
      <c r="F655" s="3"/>
      <c r="G655" s="3"/>
      <c r="H655" s="3"/>
    </row>
    <row r="656" spans="2:8">
      <c r="B656" s="2"/>
      <c r="C656" s="2"/>
      <c r="D656" s="2"/>
      <c r="E656" s="3"/>
      <c r="F656" s="3"/>
      <c r="G656" s="3"/>
      <c r="H656" s="3"/>
    </row>
    <row r="657" spans="2:8">
      <c r="B657" s="2"/>
      <c r="C657" s="2"/>
      <c r="D657" s="2"/>
      <c r="E657" s="3"/>
      <c r="F657" s="3"/>
      <c r="G657" s="3"/>
      <c r="H657" s="3"/>
    </row>
    <row r="658" spans="2:8">
      <c r="B658" s="2"/>
      <c r="C658" s="2"/>
      <c r="D658" s="2"/>
      <c r="E658" s="3"/>
      <c r="F658" s="3"/>
      <c r="G658" s="3"/>
      <c r="H658" s="3"/>
    </row>
    <row r="659" spans="2:8">
      <c r="B659" s="2"/>
      <c r="C659" s="2"/>
      <c r="D659" s="2"/>
      <c r="E659" s="3"/>
      <c r="F659" s="3"/>
      <c r="G659" s="3"/>
      <c r="H659" s="3"/>
    </row>
    <row r="660" spans="2:8">
      <c r="B660" s="2"/>
      <c r="C660" s="2"/>
      <c r="D660" s="2"/>
      <c r="E660" s="3"/>
      <c r="F660" s="3"/>
      <c r="G660" s="3"/>
      <c r="H660" s="3"/>
    </row>
    <row r="661" spans="2:8">
      <c r="B661" s="2"/>
      <c r="C661" s="2"/>
      <c r="D661" s="2"/>
      <c r="E661" s="3"/>
      <c r="F661" s="3"/>
      <c r="G661" s="3"/>
      <c r="H661" s="3"/>
    </row>
    <row r="662" spans="2:8">
      <c r="B662" s="2"/>
      <c r="C662" s="2"/>
      <c r="D662" s="2"/>
      <c r="E662" s="3"/>
      <c r="F662" s="3"/>
      <c r="G662" s="3"/>
      <c r="H662" s="3"/>
    </row>
    <row r="663" spans="2:8">
      <c r="B663" s="2"/>
      <c r="C663" s="2"/>
      <c r="D663" s="2"/>
      <c r="E663" s="3"/>
      <c r="F663" s="3"/>
      <c r="G663" s="3"/>
      <c r="H663" s="3"/>
    </row>
    <row r="664" spans="2:8">
      <c r="B664" s="2"/>
      <c r="C664" s="2"/>
      <c r="D664" s="2"/>
      <c r="E664" s="3"/>
      <c r="F664" s="3"/>
      <c r="G664" s="3"/>
      <c r="H664" s="3"/>
    </row>
    <row r="665" spans="2:8">
      <c r="B665" s="2"/>
      <c r="C665" s="2"/>
      <c r="D665" s="2"/>
      <c r="E665" s="3"/>
      <c r="F665" s="3"/>
      <c r="G665" s="3"/>
      <c r="H665" s="3"/>
    </row>
    <row r="666" spans="2:8">
      <c r="B666" s="2"/>
      <c r="C666" s="2"/>
      <c r="D666" s="2"/>
      <c r="E666" s="3"/>
      <c r="F666" s="3"/>
      <c r="G666" s="3"/>
      <c r="H666" s="3"/>
    </row>
    <row r="667" spans="2:8">
      <c r="B667" s="2"/>
      <c r="C667" s="2"/>
      <c r="D667" s="2"/>
      <c r="E667" s="3"/>
      <c r="F667" s="3"/>
      <c r="G667" s="3"/>
      <c r="H667" s="3"/>
    </row>
    <row r="668" spans="2:8">
      <c r="B668" s="2"/>
      <c r="C668" s="2"/>
      <c r="D668" s="2"/>
      <c r="E668" s="3"/>
      <c r="F668" s="3"/>
      <c r="G668" s="3"/>
      <c r="H668" s="3"/>
    </row>
    <row r="669" spans="2:8">
      <c r="B669" s="2"/>
      <c r="C669" s="2"/>
      <c r="D669" s="2"/>
      <c r="E669" s="3"/>
      <c r="F669" s="3"/>
      <c r="G669" s="3"/>
      <c r="H669" s="3"/>
    </row>
    <row r="670" spans="2:8">
      <c r="B670" s="2"/>
      <c r="C670" s="2"/>
      <c r="D670" s="2"/>
      <c r="E670" s="3"/>
      <c r="F670" s="3"/>
      <c r="G670" s="3"/>
      <c r="H670" s="3"/>
    </row>
    <row r="671" spans="2:8">
      <c r="B671" s="2"/>
      <c r="C671" s="2"/>
      <c r="D671" s="2"/>
      <c r="E671" s="3"/>
      <c r="F671" s="3"/>
      <c r="G671" s="3"/>
      <c r="H671" s="3"/>
    </row>
    <row r="672" spans="2:8">
      <c r="B672" s="2"/>
      <c r="C672" s="2"/>
      <c r="D672" s="2"/>
      <c r="E672" s="3"/>
      <c r="F672" s="3"/>
      <c r="G672" s="3"/>
      <c r="H672" s="3"/>
    </row>
    <row r="673" spans="2:8">
      <c r="B673" s="2"/>
      <c r="C673" s="2"/>
      <c r="D673" s="2"/>
      <c r="E673" s="3"/>
      <c r="F673" s="3"/>
      <c r="G673" s="3"/>
      <c r="H673" s="3"/>
    </row>
    <row r="674" spans="2:8">
      <c r="B674" s="2"/>
      <c r="C674" s="2"/>
      <c r="D674" s="2"/>
      <c r="E674" s="3"/>
      <c r="F674" s="3"/>
      <c r="G674" s="3"/>
      <c r="H674" s="3"/>
    </row>
    <row r="675" spans="2:8">
      <c r="B675" s="2"/>
      <c r="C675" s="2"/>
      <c r="D675" s="2"/>
      <c r="E675" s="3"/>
      <c r="F675" s="3"/>
      <c r="G675" s="3"/>
      <c r="H675" s="3"/>
    </row>
    <row r="676" spans="2:8">
      <c r="B676" s="2"/>
      <c r="C676" s="2"/>
      <c r="D676" s="2"/>
      <c r="E676" s="3"/>
      <c r="F676" s="3"/>
      <c r="G676" s="3"/>
      <c r="H676" s="3"/>
    </row>
  </sheetData>
  <mergeCells count="16">
    <mergeCell ref="B92:B93"/>
    <mergeCell ref="C92:C93"/>
    <mergeCell ref="D92:F92"/>
    <mergeCell ref="G92:I92"/>
    <mergeCell ref="B618:B619"/>
    <mergeCell ref="C618:C619"/>
    <mergeCell ref="D618:F618"/>
    <mergeCell ref="G618:I618"/>
    <mergeCell ref="B1:H1"/>
    <mergeCell ref="B2:F2"/>
    <mergeCell ref="G2:H2"/>
    <mergeCell ref="B5:H5"/>
    <mergeCell ref="B8:B9"/>
    <mergeCell ref="C8:C9"/>
    <mergeCell ref="D8:F8"/>
    <mergeCell ref="G8:I8"/>
  </mergeCells>
  <phoneticPr fontId="33" type="noConversion"/>
  <pageMargins left="0.17" right="0.16" top="0.51" bottom="0.36" header="0.5" footer="0.5"/>
  <pageSetup paperSize="9" scale="70" fitToHeight="0"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Лист8">
    <pageSetUpPr fitToPage="1"/>
  </sheetPr>
  <dimension ref="A1:R103"/>
  <sheetViews>
    <sheetView topLeftCell="A19" workbookViewId="0">
      <selection activeCell="I109" sqref="I109"/>
    </sheetView>
  </sheetViews>
  <sheetFormatPr defaultRowHeight="11.25"/>
  <cols>
    <col min="1" max="1" width="7" customWidth="1"/>
    <col min="2" max="2" width="9.1640625" customWidth="1"/>
    <col min="3" max="3" width="18.33203125" customWidth="1"/>
    <col min="4" max="4" width="15.33203125" customWidth="1"/>
    <col min="5" max="5" width="18.1640625" customWidth="1"/>
    <col min="6" max="6" width="16.6640625" customWidth="1"/>
    <col min="7" max="7" width="16.33203125" customWidth="1"/>
    <col min="8" max="8" width="17.1640625" bestFit="1" customWidth="1"/>
    <col min="9" max="9" width="16" customWidth="1"/>
    <col min="10" max="10" width="14.6640625" customWidth="1"/>
    <col min="11" max="11" width="16.6640625" customWidth="1"/>
    <col min="12" max="12" width="15.1640625" customWidth="1"/>
    <col min="13" max="13" width="14.83203125" customWidth="1"/>
    <col min="14" max="14" width="17.1640625" bestFit="1" customWidth="1"/>
    <col min="15" max="15" width="7" customWidth="1"/>
    <col min="16" max="16" width="4.6640625" customWidth="1"/>
    <col min="17" max="17" width="18.83203125" customWidth="1"/>
    <col min="18" max="18" width="18.83203125" bestFit="1" customWidth="1"/>
  </cols>
  <sheetData>
    <row r="1" spans="1:18">
      <c r="D1" s="392"/>
      <c r="E1" s="392"/>
      <c r="F1" s="392"/>
      <c r="G1" s="392"/>
      <c r="H1" s="392"/>
      <c r="I1" s="392"/>
      <c r="J1" s="392"/>
      <c r="K1" s="392"/>
      <c r="L1" s="392"/>
      <c r="M1" s="392"/>
      <c r="N1" s="392"/>
      <c r="O1" s="392"/>
      <c r="P1" s="392"/>
      <c r="Q1" s="392"/>
      <c r="R1" s="392"/>
    </row>
    <row r="2" spans="1:18" ht="15" thickBot="1">
      <c r="D2" s="392"/>
      <c r="E2" s="392"/>
      <c r="F2" s="392"/>
      <c r="G2" s="392"/>
      <c r="H2" s="392"/>
      <c r="I2" s="392"/>
      <c r="J2" s="392"/>
      <c r="K2" s="392"/>
      <c r="L2" s="392"/>
      <c r="M2" s="392"/>
      <c r="N2" s="392"/>
      <c r="O2" s="392"/>
      <c r="P2" s="392"/>
      <c r="Q2" s="392"/>
      <c r="R2" s="922"/>
    </row>
    <row r="3" spans="1:18">
      <c r="A3" s="394"/>
      <c r="B3" s="923"/>
      <c r="C3" s="2709" t="s">
        <v>1280</v>
      </c>
      <c r="D3" s="2710"/>
      <c r="E3" s="2710"/>
      <c r="F3" s="2711"/>
      <c r="G3" s="2707" t="s">
        <v>1281</v>
      </c>
      <c r="H3" s="2708"/>
      <c r="I3" s="2708"/>
      <c r="J3" s="2712"/>
      <c r="K3" s="2707" t="s">
        <v>1282</v>
      </c>
      <c r="L3" s="2708"/>
      <c r="M3" s="2708"/>
      <c r="N3" s="2708"/>
    </row>
    <row r="4" spans="1:18">
      <c r="A4" s="394"/>
      <c r="B4" s="923"/>
      <c r="C4" s="926" t="s">
        <v>3398</v>
      </c>
      <c r="D4" s="924" t="s">
        <v>3399</v>
      </c>
      <c r="E4" s="924" t="s">
        <v>3435</v>
      </c>
      <c r="F4" s="925" t="s">
        <v>3436</v>
      </c>
      <c r="G4" s="926" t="s">
        <v>3398</v>
      </c>
      <c r="H4" s="924" t="s">
        <v>3399</v>
      </c>
      <c r="I4" s="924" t="s">
        <v>3435</v>
      </c>
      <c r="J4" s="925" t="s">
        <v>3436</v>
      </c>
      <c r="K4" s="2362" t="s">
        <v>3398</v>
      </c>
      <c r="L4" s="2363" t="s">
        <v>3399</v>
      </c>
      <c r="M4" s="2363" t="s">
        <v>3435</v>
      </c>
      <c r="N4" s="2364" t="s">
        <v>3436</v>
      </c>
    </row>
    <row r="5" spans="1:18" ht="12.75">
      <c r="A5" s="2324" t="s">
        <v>661</v>
      </c>
      <c r="B5" s="2325" t="s">
        <v>3355</v>
      </c>
      <c r="C5" s="2326">
        <f>mo!B46+mo!B117+mo!B218</f>
        <v>14980550</v>
      </c>
      <c r="D5" s="2327">
        <f>mo!B117</f>
        <v>341500</v>
      </c>
      <c r="E5" s="2327">
        <f>mo!C46+mo!C117+mo!C218</f>
        <v>4379192.57</v>
      </c>
      <c r="F5" s="2328">
        <f>mo!C117</f>
        <v>-38465.259999999995</v>
      </c>
      <c r="G5" s="2326">
        <f>mo!D46+mo!D117</f>
        <v>7016800</v>
      </c>
      <c r="H5" s="2327">
        <f>mo!D117</f>
        <v>116000</v>
      </c>
      <c r="I5" s="2327">
        <f>mo!E46+mo!E117</f>
        <v>1411968.05</v>
      </c>
      <c r="J5" s="2328">
        <f>mo!E117</f>
        <v>20851.280000000002</v>
      </c>
      <c r="K5" s="2326">
        <f>mo!F46+mo!F117+mo!F218</f>
        <v>6005300.3499999996</v>
      </c>
      <c r="L5" s="2327">
        <f>mo!F117</f>
        <v>91500</v>
      </c>
      <c r="M5" s="2327">
        <f>mo!G46+mo!G117+mo!G218</f>
        <v>885878.51</v>
      </c>
      <c r="N5" s="2328">
        <f>mo!G117</f>
        <v>14431.400000000001</v>
      </c>
    </row>
    <row r="6" spans="1:18" ht="12.75">
      <c r="A6" s="2271" t="s">
        <v>1909</v>
      </c>
      <c r="B6" s="2272" t="s">
        <v>3356</v>
      </c>
      <c r="C6" s="2292">
        <f>mo!B47+mo!B118</f>
        <v>8536000</v>
      </c>
      <c r="D6" s="2246">
        <f>mo!C118</f>
        <v>42448</v>
      </c>
      <c r="E6" s="2246">
        <f>mo!C47+mo!C118</f>
        <v>2183855.13</v>
      </c>
      <c r="F6" s="2293">
        <f>mo!C118</f>
        <v>42448</v>
      </c>
      <c r="G6" s="2292">
        <f>mo!D47+mo!D118</f>
        <v>3802000</v>
      </c>
      <c r="H6" s="2246">
        <f>mo!D118</f>
        <v>84200</v>
      </c>
      <c r="I6" s="2246">
        <f>mo!E47+mo!E118</f>
        <v>822983.16</v>
      </c>
      <c r="J6" s="2293">
        <f>mo!E118</f>
        <v>17531.650000000001</v>
      </c>
      <c r="K6" s="2292">
        <f>mo!F47+mo!F118</f>
        <v>3071543.35</v>
      </c>
      <c r="L6" s="2246">
        <f>mo!F118</f>
        <v>66505</v>
      </c>
      <c r="M6" s="2246">
        <f>mo!G47+mo!G118</f>
        <v>553383.37</v>
      </c>
      <c r="N6" s="2293">
        <f>mo!G118</f>
        <v>11084.04</v>
      </c>
    </row>
    <row r="7" spans="1:18" ht="12.75">
      <c r="A7" s="2273" t="s">
        <v>1910</v>
      </c>
      <c r="B7" s="2274" t="s">
        <v>3355</v>
      </c>
      <c r="C7" s="2292">
        <f>mo!B48+mo!B120</f>
        <v>317450</v>
      </c>
      <c r="D7" s="2246">
        <f>mo!B120</f>
        <v>0</v>
      </c>
      <c r="E7" s="2246">
        <f>mo!C48+mo!C120</f>
        <v>58908.65</v>
      </c>
      <c r="F7" s="2293">
        <f>mo!C120</f>
        <v>300</v>
      </c>
      <c r="G7" s="2292">
        <f>mo!D48</f>
        <v>145000</v>
      </c>
      <c r="H7" s="2246"/>
      <c r="I7" s="2246">
        <f>mo!E48</f>
        <v>60000</v>
      </c>
      <c r="J7" s="2293"/>
      <c r="K7" s="2292">
        <f>mo!F48+mo!F120</f>
        <v>295900</v>
      </c>
      <c r="L7" s="2246">
        <f>mo!F120</f>
        <v>0</v>
      </c>
      <c r="M7" s="2246">
        <f>mo!G48+mo!G119</f>
        <v>10741.07</v>
      </c>
      <c r="N7" s="2293">
        <f>mo!G120</f>
        <v>0</v>
      </c>
    </row>
    <row r="8" spans="1:18" ht="12.75">
      <c r="A8" s="2273" t="s">
        <v>1911</v>
      </c>
      <c r="B8" s="2274" t="s">
        <v>3357</v>
      </c>
      <c r="C8" s="2292">
        <f>mo!B49+mo!B119</f>
        <v>2282900</v>
      </c>
      <c r="D8" s="2246">
        <f>mo!B119</f>
        <v>70900</v>
      </c>
      <c r="E8" s="2246">
        <f>mo!C49+mo!C119</f>
        <v>564658</v>
      </c>
      <c r="F8" s="2293">
        <f>mo!C119</f>
        <v>-81213.259999999995</v>
      </c>
      <c r="G8" s="2292">
        <f>mo!D49+mo!D119</f>
        <v>1148500</v>
      </c>
      <c r="H8" s="2246">
        <f>mo!D119</f>
        <v>25800</v>
      </c>
      <c r="I8" s="2246">
        <f>mo!E49+mo!E119</f>
        <v>236733.34000000003</v>
      </c>
      <c r="J8" s="2293">
        <f>mo!E119</f>
        <v>3319.63</v>
      </c>
      <c r="K8" s="2292">
        <f>mo!F49+mo!F119</f>
        <v>1017647</v>
      </c>
      <c r="L8" s="2246">
        <f>mo!F119</f>
        <v>20085</v>
      </c>
      <c r="M8" s="2246">
        <f>mo!G49+mo!G119</f>
        <v>139554.32999999999</v>
      </c>
      <c r="N8" s="2293">
        <f>mo!G119</f>
        <v>3347.36</v>
      </c>
    </row>
    <row r="9" spans="1:18" ht="12.75">
      <c r="A9" s="2329" t="s">
        <v>1913</v>
      </c>
      <c r="B9" s="2330" t="s">
        <v>3355</v>
      </c>
      <c r="C9" s="2331">
        <f>mo!B117</f>
        <v>341500</v>
      </c>
      <c r="D9" s="2332">
        <f>mo!B117</f>
        <v>341500</v>
      </c>
      <c r="E9" s="2332">
        <f>mo!C117</f>
        <v>-38465.259999999995</v>
      </c>
      <c r="F9" s="2333">
        <f>mo!C117</f>
        <v>-38465.259999999995</v>
      </c>
      <c r="G9" s="2331">
        <f>mo!D117</f>
        <v>116000</v>
      </c>
      <c r="H9" s="2332">
        <f>mo!D117</f>
        <v>116000</v>
      </c>
      <c r="I9" s="2332">
        <f>mo!E117</f>
        <v>20851.280000000002</v>
      </c>
      <c r="J9" s="2333">
        <f>mo!E117</f>
        <v>20851.280000000002</v>
      </c>
      <c r="K9" s="2331">
        <f>mo!F117</f>
        <v>91500</v>
      </c>
      <c r="L9" s="2332">
        <f>mo!F117</f>
        <v>91500</v>
      </c>
      <c r="M9" s="2332">
        <f>mo!G117</f>
        <v>14431.400000000001</v>
      </c>
      <c r="N9" s="2333">
        <f>mo!G117</f>
        <v>14431.400000000001</v>
      </c>
    </row>
    <row r="10" spans="1:18" ht="12.75">
      <c r="A10" s="2275" t="s">
        <v>1914</v>
      </c>
      <c r="B10" s="2272" t="s">
        <v>3356</v>
      </c>
      <c r="C10" s="2292">
        <f>mo!B118</f>
        <v>235000</v>
      </c>
      <c r="D10" s="2246">
        <f>mo!B118</f>
        <v>235000</v>
      </c>
      <c r="E10" s="2246">
        <f>mo!C118</f>
        <v>42448</v>
      </c>
      <c r="F10" s="2293">
        <f>mo!C118</f>
        <v>42448</v>
      </c>
      <c r="G10" s="2292">
        <f>mo!D118</f>
        <v>84200</v>
      </c>
      <c r="H10" s="2246">
        <f>mo!D118</f>
        <v>84200</v>
      </c>
      <c r="I10" s="2246">
        <f>mo!E118</f>
        <v>17531.650000000001</v>
      </c>
      <c r="J10" s="2293">
        <f>mo!E118</f>
        <v>17531.650000000001</v>
      </c>
      <c r="K10" s="2292">
        <f>mo!F118</f>
        <v>66505</v>
      </c>
      <c r="L10" s="2246">
        <f>mo!F118</f>
        <v>66505</v>
      </c>
      <c r="M10" s="2246">
        <f>mo!G118</f>
        <v>11084.04</v>
      </c>
      <c r="N10" s="2293">
        <f>mo!G118</f>
        <v>11084.04</v>
      </c>
    </row>
    <row r="11" spans="1:18" ht="12.75">
      <c r="A11" s="2276" t="s">
        <v>1915</v>
      </c>
      <c r="B11" s="2274" t="s">
        <v>3355</v>
      </c>
      <c r="C11" s="2292">
        <f>mo!B120</f>
        <v>0</v>
      </c>
      <c r="D11" s="2246">
        <f>mo!B120</f>
        <v>0</v>
      </c>
      <c r="E11" s="2246">
        <f>mo!C120</f>
        <v>300</v>
      </c>
      <c r="F11" s="2293">
        <f>mo!C120</f>
        <v>300</v>
      </c>
      <c r="G11" s="2292"/>
      <c r="H11" s="2246"/>
      <c r="I11" s="2246"/>
      <c r="J11" s="2293"/>
      <c r="K11" s="2292"/>
      <c r="L11" s="2246"/>
      <c r="M11" s="2246"/>
      <c r="N11" s="2293"/>
    </row>
    <row r="12" spans="1:18" ht="12.75">
      <c r="A12" s="2273" t="s">
        <v>1916</v>
      </c>
      <c r="B12" s="2274" t="s">
        <v>3357</v>
      </c>
      <c r="C12" s="2292">
        <f>mo!B119</f>
        <v>70900</v>
      </c>
      <c r="D12" s="2246">
        <f>mo!B119</f>
        <v>70900</v>
      </c>
      <c r="E12" s="2246">
        <f>mo!C119</f>
        <v>-81213.259999999995</v>
      </c>
      <c r="F12" s="2293">
        <f>mo!C119</f>
        <v>-81213.259999999995</v>
      </c>
      <c r="G12" s="2292">
        <f>mo!D119</f>
        <v>25800</v>
      </c>
      <c r="H12" s="2246">
        <f>mo!D119</f>
        <v>25800</v>
      </c>
      <c r="I12" s="2246">
        <f>mo!E119</f>
        <v>3319.63</v>
      </c>
      <c r="J12" s="2293">
        <f>mo!E119</f>
        <v>3319.63</v>
      </c>
      <c r="K12" s="2292">
        <f>mo!F119</f>
        <v>20085</v>
      </c>
      <c r="L12" s="2246">
        <f>mo!F119</f>
        <v>20085</v>
      </c>
      <c r="M12" s="2246">
        <f>mo!G119</f>
        <v>3347.36</v>
      </c>
      <c r="N12" s="2293">
        <f>mo!G119</f>
        <v>3347.36</v>
      </c>
    </row>
    <row r="13" spans="1:18" ht="12.75">
      <c r="A13" s="2277" t="s">
        <v>2276</v>
      </c>
      <c r="B13" s="2278" t="s">
        <v>3355</v>
      </c>
      <c r="C13" s="2294">
        <f>mo!B38+mo!B39</f>
        <v>342200</v>
      </c>
      <c r="D13" s="2295">
        <f>mo!B38</f>
        <v>341500</v>
      </c>
      <c r="E13" s="2295">
        <f>mo!C38+mo!C39</f>
        <v>50783.62</v>
      </c>
      <c r="F13" s="2296">
        <f>mo!C38</f>
        <v>50783.62</v>
      </c>
      <c r="G13" s="2294">
        <f>mo!D38+mo!D39</f>
        <v>116700</v>
      </c>
      <c r="H13" s="2246">
        <f>mo!D38</f>
        <v>116000</v>
      </c>
      <c r="I13" s="2246">
        <f>mo!E38+mo!E39</f>
        <v>20851.28</v>
      </c>
      <c r="J13" s="2296">
        <f>mo!E38</f>
        <v>20851.28</v>
      </c>
      <c r="K13" s="2294">
        <f>mo!F38+mo!F39</f>
        <v>92200</v>
      </c>
      <c r="L13" s="2295">
        <f>mo!F38</f>
        <v>91500</v>
      </c>
      <c r="M13" s="2295">
        <f>mo!G38+mo!G39</f>
        <v>14431.4</v>
      </c>
      <c r="N13" s="2296">
        <f>mo!G38</f>
        <v>14431.4</v>
      </c>
    </row>
    <row r="14" spans="1:18" ht="12.75">
      <c r="A14" s="2277" t="s">
        <v>1908</v>
      </c>
      <c r="B14" s="2278" t="s">
        <v>3414</v>
      </c>
      <c r="C14" s="2294">
        <f>mo!B157</f>
        <v>1796000</v>
      </c>
      <c r="D14" s="2295"/>
      <c r="E14" s="2295">
        <f>mo!C157</f>
        <v>281890</v>
      </c>
      <c r="F14" s="2296"/>
      <c r="G14" s="2294">
        <f>mo!D157</f>
        <v>898900</v>
      </c>
      <c r="H14" s="2295"/>
      <c r="I14" s="2295">
        <f>mo!E157</f>
        <v>0</v>
      </c>
      <c r="J14" s="2296"/>
      <c r="K14" s="2294">
        <f>mo!F157</f>
        <v>173590</v>
      </c>
      <c r="L14" s="2295"/>
      <c r="M14" s="2295">
        <f>mo!G157</f>
        <v>0</v>
      </c>
      <c r="N14" s="2296"/>
    </row>
    <row r="15" spans="1:18" ht="12.75">
      <c r="A15" s="2277" t="s">
        <v>303</v>
      </c>
      <c r="B15" s="2278" t="s">
        <v>3361</v>
      </c>
      <c r="C15" s="2294">
        <f>mo!B168</f>
        <v>5547600</v>
      </c>
      <c r="D15" s="2295"/>
      <c r="E15" s="2295">
        <f>mo!C168</f>
        <v>130927</v>
      </c>
      <c r="F15" s="2296"/>
      <c r="G15" s="2294">
        <f>mo!D168</f>
        <v>360500</v>
      </c>
      <c r="H15" s="2295"/>
      <c r="I15" s="2295">
        <f>mo!E168</f>
        <v>0</v>
      </c>
      <c r="J15" s="2296"/>
      <c r="K15" s="2294">
        <f>mo!F168</f>
        <v>620417.42999999993</v>
      </c>
      <c r="L15" s="2295"/>
      <c r="M15" s="2295">
        <f>mo!G168</f>
        <v>1110</v>
      </c>
      <c r="N15" s="2296"/>
    </row>
    <row r="16" spans="1:18" ht="12.75">
      <c r="A16" s="2277" t="s">
        <v>665</v>
      </c>
      <c r="B16" s="2278" t="s">
        <v>3362</v>
      </c>
      <c r="C16" s="2294">
        <f>mo!B182</f>
        <v>620000</v>
      </c>
      <c r="D16" s="2295"/>
      <c r="E16" s="2295">
        <f>mo!C182</f>
        <v>120456.32000000001</v>
      </c>
      <c r="F16" s="2296"/>
      <c r="G16" s="2294">
        <f>mo!D182</f>
        <v>822192.22</v>
      </c>
      <c r="H16" s="2295"/>
      <c r="I16" s="2295">
        <f>mo!E182</f>
        <v>0</v>
      </c>
      <c r="J16" s="2296"/>
      <c r="K16" s="2294">
        <f>mo!F182</f>
        <v>603900</v>
      </c>
      <c r="L16" s="2295"/>
      <c r="M16" s="2295">
        <f>mo!G182</f>
        <v>99448</v>
      </c>
      <c r="N16" s="2296"/>
    </row>
    <row r="17" spans="1:14" ht="12.75">
      <c r="A17" s="2277" t="s">
        <v>2277</v>
      </c>
      <c r="B17" s="2278" t="s">
        <v>3413</v>
      </c>
      <c r="C17" s="2294">
        <f>mo!B218+mo!B220</f>
        <v>103000</v>
      </c>
      <c r="D17" s="2295"/>
      <c r="E17" s="2295">
        <f>mo!C218+mo!C220</f>
        <v>19538</v>
      </c>
      <c r="F17" s="2296"/>
      <c r="G17" s="2294">
        <f>mo!D219</f>
        <v>0</v>
      </c>
      <c r="H17" s="2295"/>
      <c r="I17" s="2295">
        <f>mo!E219</f>
        <v>0</v>
      </c>
      <c r="J17" s="2296"/>
      <c r="K17" s="2294"/>
      <c r="L17" s="2295"/>
      <c r="M17" s="2295"/>
      <c r="N17" s="2296"/>
    </row>
    <row r="18" spans="1:14" ht="12.75">
      <c r="A18" s="2277" t="s">
        <v>1072</v>
      </c>
      <c r="B18" s="2278" t="s">
        <v>3415</v>
      </c>
      <c r="C18" s="2294">
        <f>mo!B113</f>
        <v>0</v>
      </c>
      <c r="D18" s="2246"/>
      <c r="E18" s="2246"/>
      <c r="F18" s="2296"/>
      <c r="G18" s="2294">
        <f>mo!D113</f>
        <v>10000</v>
      </c>
      <c r="H18" s="2295"/>
      <c r="I18" s="2295">
        <f>mo!E113</f>
        <v>0</v>
      </c>
      <c r="J18" s="2296"/>
      <c r="K18" s="2294">
        <f>mo!F114</f>
        <v>5000</v>
      </c>
      <c r="L18" s="2295"/>
      <c r="M18" s="2295">
        <f>mo!G219</f>
        <v>0</v>
      </c>
      <c r="N18" s="2296"/>
    </row>
    <row r="19" spans="1:14" ht="12.75">
      <c r="A19" s="2277" t="s">
        <v>164</v>
      </c>
      <c r="B19" s="2278" t="s">
        <v>3355</v>
      </c>
      <c r="C19" s="2294">
        <f>mo!B26-mo!B29</f>
        <v>14095700</v>
      </c>
      <c r="D19" s="2246">
        <f>mo!B38</f>
        <v>341500</v>
      </c>
      <c r="E19" s="2246">
        <f>mo!C26-mo!C29</f>
        <v>3335783.62</v>
      </c>
      <c r="F19" s="2297">
        <f>mo!C38</f>
        <v>50783.62</v>
      </c>
      <c r="G19" s="2298">
        <f>mo!D26-mo!D29</f>
        <v>8855500</v>
      </c>
      <c r="H19" s="2246">
        <f>mo!D38</f>
        <v>116000</v>
      </c>
      <c r="I19" s="2246">
        <f>mo!E26-mo!E29-325416.22</f>
        <v>1852435.0599999998</v>
      </c>
      <c r="J19" s="2297">
        <f>mo!E38</f>
        <v>20851.28</v>
      </c>
      <c r="K19" s="2298">
        <f>mo!F26-mo!F29</f>
        <v>8462700</v>
      </c>
      <c r="L19" s="2246">
        <f>mo!F38</f>
        <v>91500</v>
      </c>
      <c r="M19" s="2246">
        <f>mo!G26-mo!G38-916228.65</f>
        <v>1173771.3500000001</v>
      </c>
      <c r="N19" s="2297">
        <f>mo!G38</f>
        <v>14431.4</v>
      </c>
    </row>
    <row r="20" spans="1:14" ht="12.75">
      <c r="A20" s="2279" t="s">
        <v>2231</v>
      </c>
      <c r="B20" s="2280" t="s">
        <v>3355</v>
      </c>
      <c r="C20" s="2294">
        <f>mo!B38</f>
        <v>341500</v>
      </c>
      <c r="D20" s="2299">
        <f>mo!B38</f>
        <v>341500</v>
      </c>
      <c r="E20" s="2299">
        <f>mo!C38</f>
        <v>50783.62</v>
      </c>
      <c r="F20" s="2300">
        <f>mo!C38</f>
        <v>50783.62</v>
      </c>
      <c r="G20" s="2301">
        <f>mo!D38</f>
        <v>116000</v>
      </c>
      <c r="H20" s="2299">
        <f>mo!D38</f>
        <v>116000</v>
      </c>
      <c r="I20" s="2299">
        <f>mo!E38</f>
        <v>20851.28</v>
      </c>
      <c r="J20" s="2300">
        <f>mo!E38</f>
        <v>20851.28</v>
      </c>
      <c r="K20" s="2301">
        <f>mo!F38</f>
        <v>91500</v>
      </c>
      <c r="L20" s="2299">
        <f>mo!F38</f>
        <v>91500</v>
      </c>
      <c r="M20" s="2299">
        <f>mo!G38</f>
        <v>14431.4</v>
      </c>
      <c r="N20" s="2300">
        <f>mo!G38</f>
        <v>14431.4</v>
      </c>
    </row>
    <row r="21" spans="1:14" ht="12.75">
      <c r="A21" s="2324" t="s">
        <v>2211</v>
      </c>
      <c r="B21" s="2325" t="s">
        <v>3355</v>
      </c>
      <c r="C21" s="2359" t="s">
        <v>32</v>
      </c>
      <c r="D21" s="2322" t="s">
        <v>32</v>
      </c>
      <c r="E21" s="2332">
        <f>mo!C263</f>
        <v>558829.02</v>
      </c>
      <c r="F21" s="2334">
        <f>F22</f>
        <v>89248.88</v>
      </c>
      <c r="G21" s="2359" t="s">
        <v>32</v>
      </c>
      <c r="H21" s="2322" t="s">
        <v>32</v>
      </c>
      <c r="I21" s="2335">
        <f>mo!E263</f>
        <v>895057.04</v>
      </c>
      <c r="J21" s="2334">
        <f>J22</f>
        <v>0</v>
      </c>
      <c r="K21" s="2359" t="s">
        <v>32</v>
      </c>
      <c r="L21" s="2322" t="s">
        <v>32</v>
      </c>
      <c r="M21" s="2335">
        <f>mo!G263</f>
        <v>1065400.47</v>
      </c>
      <c r="N21" s="2334">
        <f>N22</f>
        <v>0</v>
      </c>
    </row>
    <row r="22" spans="1:14" ht="12.75">
      <c r="A22" s="2271" t="s">
        <v>2212</v>
      </c>
      <c r="B22" s="2281" t="s">
        <v>3355</v>
      </c>
      <c r="C22" s="2360" t="s">
        <v>32</v>
      </c>
      <c r="D22" s="2323" t="s">
        <v>32</v>
      </c>
      <c r="E22" s="2246"/>
      <c r="F22" s="2300">
        <f>mo!C38-mo!C117</f>
        <v>89248.88</v>
      </c>
      <c r="G22" s="2360" t="s">
        <v>32</v>
      </c>
      <c r="H22" s="2323" t="s">
        <v>32</v>
      </c>
      <c r="I22" s="2299"/>
      <c r="J22" s="2300">
        <f>mo!E38-mo!E117</f>
        <v>0</v>
      </c>
      <c r="K22" s="2360" t="s">
        <v>32</v>
      </c>
      <c r="L22" s="2323" t="s">
        <v>32</v>
      </c>
      <c r="M22" s="2299"/>
      <c r="N22" s="2300">
        <f>mo!G38-mo!G117</f>
        <v>0</v>
      </c>
    </row>
    <row r="23" spans="1:14" ht="12.75">
      <c r="A23" s="2324" t="s">
        <v>2213</v>
      </c>
      <c r="B23" s="2325" t="s">
        <v>3355</v>
      </c>
      <c r="C23" s="2394" t="s">
        <v>32</v>
      </c>
      <c r="D23" s="2322" t="s">
        <v>32</v>
      </c>
      <c r="E23" s="2332"/>
      <c r="F23" s="2334"/>
      <c r="G23" s="2359" t="s">
        <v>32</v>
      </c>
      <c r="H23" s="2373" t="s">
        <v>32</v>
      </c>
      <c r="I23" s="2335"/>
      <c r="J23" s="2334"/>
      <c r="K23" s="2359" t="s">
        <v>32</v>
      </c>
      <c r="L23" s="2373" t="s">
        <v>32</v>
      </c>
      <c r="M23" s="2335"/>
      <c r="N23" s="2334"/>
    </row>
    <row r="24" spans="1:14" ht="12.75">
      <c r="A24" s="2271" t="s">
        <v>2214</v>
      </c>
      <c r="B24" s="2281" t="s">
        <v>3355</v>
      </c>
      <c r="C24" s="2393" t="s">
        <v>32</v>
      </c>
      <c r="D24" s="2395" t="s">
        <v>32</v>
      </c>
      <c r="E24" s="2299"/>
      <c r="F24" s="2300"/>
      <c r="G24" s="2393" t="s">
        <v>32</v>
      </c>
      <c r="H24" s="2395" t="s">
        <v>32</v>
      </c>
      <c r="I24" s="2299"/>
      <c r="J24" s="2300"/>
      <c r="K24" s="2393" t="s">
        <v>32</v>
      </c>
      <c r="L24" s="2395" t="s">
        <v>32</v>
      </c>
      <c r="M24" s="2299"/>
      <c r="N24" s="2300"/>
    </row>
    <row r="25" spans="1:14" ht="12.75">
      <c r="A25" s="2279" t="s">
        <v>2215</v>
      </c>
      <c r="B25" s="2280" t="s">
        <v>3355</v>
      </c>
      <c r="C25" s="2393" t="s">
        <v>32</v>
      </c>
      <c r="D25" s="2395" t="s">
        <v>32</v>
      </c>
      <c r="E25" s="2299"/>
      <c r="F25" s="2300"/>
      <c r="G25" s="2393" t="s">
        <v>32</v>
      </c>
      <c r="H25" s="2395" t="s">
        <v>32</v>
      </c>
      <c r="I25" s="2299"/>
      <c r="J25" s="2300"/>
      <c r="K25" s="2393" t="s">
        <v>32</v>
      </c>
      <c r="L25" s="2395" t="s">
        <v>32</v>
      </c>
      <c r="M25" s="2299"/>
      <c r="N25" s="2300"/>
    </row>
    <row r="26" spans="1:14" ht="12.75">
      <c r="A26" s="2279" t="s">
        <v>2216</v>
      </c>
      <c r="B26" s="2280" t="s">
        <v>3355</v>
      </c>
      <c r="C26" s="2393" t="s">
        <v>32</v>
      </c>
      <c r="D26" s="2395" t="s">
        <v>32</v>
      </c>
      <c r="E26" s="2299"/>
      <c r="F26" s="2300"/>
      <c r="G26" s="2393" t="s">
        <v>32</v>
      </c>
      <c r="H26" s="2395" t="s">
        <v>32</v>
      </c>
      <c r="I26" s="2299"/>
      <c r="J26" s="2300"/>
      <c r="K26" s="2393" t="s">
        <v>32</v>
      </c>
      <c r="L26" s="2395" t="s">
        <v>32</v>
      </c>
      <c r="M26" s="2299"/>
      <c r="N26" s="2300"/>
    </row>
    <row r="27" spans="1:14" ht="12.75">
      <c r="A27" s="2279" t="s">
        <v>2217</v>
      </c>
      <c r="B27" s="2280" t="s">
        <v>3355</v>
      </c>
      <c r="C27" s="2302" t="s">
        <v>32</v>
      </c>
      <c r="D27" s="2247" t="s">
        <v>32</v>
      </c>
      <c r="E27" s="2247"/>
      <c r="F27" s="2297"/>
      <c r="G27" s="2302" t="s">
        <v>32</v>
      </c>
      <c r="H27" s="2247" t="s">
        <v>32</v>
      </c>
      <c r="I27" s="2246"/>
      <c r="J27" s="2297"/>
      <c r="K27" s="2302" t="s">
        <v>32</v>
      </c>
      <c r="L27" s="2247" t="s">
        <v>32</v>
      </c>
      <c r="M27" s="2247"/>
      <c r="N27" s="2297"/>
    </row>
    <row r="28" spans="1:14" ht="12.75">
      <c r="A28" s="2279" t="s">
        <v>3373</v>
      </c>
      <c r="B28" s="2280" t="s">
        <v>3355</v>
      </c>
      <c r="C28" s="2302" t="s">
        <v>32</v>
      </c>
      <c r="D28" s="2247" t="s">
        <v>32</v>
      </c>
      <c r="E28" s="2247"/>
      <c r="F28" s="2297"/>
      <c r="G28" s="2302" t="s">
        <v>32</v>
      </c>
      <c r="H28" s="2247" t="s">
        <v>32</v>
      </c>
      <c r="I28" s="2246"/>
      <c r="J28" s="2297"/>
      <c r="K28" s="2361" t="s">
        <v>32</v>
      </c>
      <c r="L28" s="2247" t="s">
        <v>32</v>
      </c>
      <c r="M28" s="2247"/>
      <c r="N28" s="2297"/>
    </row>
    <row r="29" spans="1:14" ht="12.75">
      <c r="A29" s="2277" t="s">
        <v>3374</v>
      </c>
      <c r="B29" s="2278" t="s">
        <v>3355</v>
      </c>
      <c r="C29" s="2298">
        <f>mo!B50+mo!B51+mo!B121+mo!B122+mo!B130+mo!B131+mo!B141+mo!B142+mo!B156+mo!B157+mo!B169+mo!B184+mo!B196+mo!B210+mo!B230</f>
        <v>12417100</v>
      </c>
      <c r="D29" s="2247"/>
      <c r="E29" s="2247">
        <f>mo!C50+mo!C51+mo!C121+mo!C122+mo!C130+mo!C131+mo!C141+mo!C156+mo!C157+mo!C166+mo!C169+mo!C184+mo!C196+mo!C210+mo!C223+mo!C229</f>
        <v>1126208.31</v>
      </c>
      <c r="F29" s="2297"/>
      <c r="G29" s="2298">
        <f>mo!D50+mo!D51+mo!D121+mo!D122+mo!D130+mo!D131+mo!D141+mo!D142+mo!D156+mo!D158+mo!D159+mo!D166+mo!D169+mo!D184+mo!D196+mo!D210+mo!D223+mo!D230</f>
        <v>4770092.22</v>
      </c>
      <c r="H29" s="2247"/>
      <c r="I29" s="2246">
        <f>mo!E50+mo!E51+mo!E121+mo!E122+mo!E130+mo!E131+mo!E141+mo!E142+mo!E156+mo!E158+mo!E159+mo!E166+mo!E169+mo!E184+mo!E196+mo!E210+mo!E223+mo!E230</f>
        <v>444423.65</v>
      </c>
      <c r="J29" s="2297"/>
      <c r="K29" s="2588">
        <f>mo!F50+mo!F51+mo!F121+mo!F122+mo!F130+mo!F131+mo!F141+mo!F142+mo!F156+mo!F158+mo!F159+mo!F166+mo!F169+mo!F184+mo!F196+mo!F210+mo!F223+mo!F230</f>
        <v>4496327.43</v>
      </c>
      <c r="L29" s="2246"/>
      <c r="M29" s="2247">
        <f>mo!G49+mo!G50+mo!G121+mo!G122+mo!G130+mo!G131+mo!G141+mo!G142+mo!G156+mo!G158+mo!G159+mo!G166+mo!G169+mo!G184+mo!G196+mo!G210+mo!G223+mo!G230</f>
        <v>340558.11</v>
      </c>
      <c r="N29" s="2297"/>
    </row>
    <row r="30" spans="1:14" ht="12.75">
      <c r="A30" s="2324" t="s">
        <v>762</v>
      </c>
      <c r="B30" s="2325" t="s">
        <v>3355</v>
      </c>
      <c r="C30" s="2336"/>
      <c r="D30" s="2337"/>
      <c r="E30" s="2337"/>
      <c r="F30" s="2338"/>
      <c r="G30" s="2336"/>
      <c r="H30" s="2337"/>
      <c r="I30" s="2337"/>
      <c r="J30" s="2339"/>
      <c r="K30" s="2340"/>
      <c r="L30" s="2332"/>
      <c r="M30" s="2337"/>
      <c r="N30" s="2338"/>
    </row>
    <row r="31" spans="1:14" ht="12.75">
      <c r="A31" s="2271" t="s">
        <v>2100</v>
      </c>
      <c r="B31" s="2281" t="s">
        <v>3355</v>
      </c>
      <c r="C31" s="2294"/>
      <c r="D31" s="2303"/>
      <c r="E31" s="2303"/>
      <c r="F31" s="2296"/>
      <c r="G31" s="2294"/>
      <c r="H31" s="2303"/>
      <c r="I31" s="2295"/>
      <c r="J31" s="2296"/>
      <c r="K31" s="2304"/>
      <c r="L31" s="2295"/>
      <c r="M31" s="2303"/>
      <c r="N31" s="2296"/>
    </row>
    <row r="32" spans="1:14" ht="12.75">
      <c r="A32" s="2279" t="s">
        <v>2101</v>
      </c>
      <c r="B32" s="2280" t="s">
        <v>3355</v>
      </c>
      <c r="C32" s="2294"/>
      <c r="D32" s="2303"/>
      <c r="E32" s="2303"/>
      <c r="F32" s="2296"/>
      <c r="G32" s="2294"/>
      <c r="H32" s="2303"/>
      <c r="I32" s="2295"/>
      <c r="J32" s="2296"/>
      <c r="K32" s="2304"/>
      <c r="L32" s="2295"/>
      <c r="M32" s="2303"/>
      <c r="N32" s="2296"/>
    </row>
    <row r="33" spans="1:14" ht="12.75">
      <c r="A33" s="2279" t="s">
        <v>2104</v>
      </c>
      <c r="B33" s="2280" t="s">
        <v>3355</v>
      </c>
      <c r="C33" s="2294"/>
      <c r="D33" s="2303"/>
      <c r="E33" s="2303"/>
      <c r="F33" s="2296"/>
      <c r="G33" s="2294"/>
      <c r="H33" s="2303"/>
      <c r="I33" s="2295"/>
      <c r="J33" s="2296"/>
      <c r="K33" s="2304"/>
      <c r="L33" s="2295"/>
      <c r="M33" s="2303"/>
      <c r="N33" s="2296"/>
    </row>
    <row r="34" spans="1:14" ht="12.75">
      <c r="A34" s="2324" t="s">
        <v>2105</v>
      </c>
      <c r="B34" s="2325" t="s">
        <v>3355</v>
      </c>
      <c r="C34" s="2336"/>
      <c r="D34" s="2337"/>
      <c r="E34" s="2337"/>
      <c r="F34" s="2338"/>
      <c r="G34" s="2336"/>
      <c r="H34" s="2337"/>
      <c r="I34" s="2332"/>
      <c r="J34" s="2338"/>
      <c r="K34" s="2340"/>
      <c r="L34" s="2332"/>
      <c r="M34" s="2337"/>
      <c r="N34" s="2338"/>
    </row>
    <row r="35" spans="1:14" ht="12.75">
      <c r="A35" s="2271" t="s">
        <v>2106</v>
      </c>
      <c r="B35" s="2281" t="s">
        <v>3355</v>
      </c>
      <c r="C35" s="2298"/>
      <c r="D35" s="2247"/>
      <c r="E35" s="2247"/>
      <c r="F35" s="2297"/>
      <c r="G35" s="2298"/>
      <c r="H35" s="2247"/>
      <c r="I35" s="2246"/>
      <c r="J35" s="2297"/>
      <c r="K35" s="2302"/>
      <c r="L35" s="2246"/>
      <c r="M35" s="2247"/>
      <c r="N35" s="2297"/>
    </row>
    <row r="36" spans="1:14" ht="12.75">
      <c r="A36" s="2279" t="s">
        <v>2107</v>
      </c>
      <c r="B36" s="2280" t="s">
        <v>3355</v>
      </c>
      <c r="C36" s="2298"/>
      <c r="D36" s="2247"/>
      <c r="E36" s="2247"/>
      <c r="F36" s="2297"/>
      <c r="G36" s="2298"/>
      <c r="H36" s="2247"/>
      <c r="I36" s="2246"/>
      <c r="J36" s="2297"/>
      <c r="K36" s="2302"/>
      <c r="L36" s="2246"/>
      <c r="M36" s="2247"/>
      <c r="N36" s="2297"/>
    </row>
    <row r="37" spans="1:14" ht="13.5" thickBot="1">
      <c r="A37" s="2279" t="s">
        <v>2108</v>
      </c>
      <c r="B37" s="2280" t="s">
        <v>3355</v>
      </c>
      <c r="C37" s="2355"/>
      <c r="D37" s="2351"/>
      <c r="E37" s="2351"/>
      <c r="F37" s="2352"/>
      <c r="G37" s="2355"/>
      <c r="H37" s="2351"/>
      <c r="I37" s="2356"/>
      <c r="J37" s="2352"/>
      <c r="K37" s="2358"/>
      <c r="L37" s="2356"/>
      <c r="M37" s="2351"/>
      <c r="N37" s="2352"/>
    </row>
    <row r="38" spans="1:14" ht="12.75" customHeight="1" thickBot="1">
      <c r="A38" s="2713" t="s">
        <v>3407</v>
      </c>
      <c r="B38" s="2714"/>
      <c r="C38" s="2714"/>
      <c r="D38" s="2714"/>
      <c r="E38" s="2714"/>
      <c r="F38" s="2714"/>
      <c r="G38" s="2714"/>
      <c r="H38" s="2714"/>
      <c r="I38" s="2714"/>
      <c r="J38" s="2714"/>
      <c r="K38" s="2714"/>
      <c r="L38" s="2714"/>
      <c r="M38" s="2714"/>
      <c r="N38" s="2714"/>
    </row>
    <row r="39" spans="1:14" ht="12.75">
      <c r="A39" s="2282" t="s">
        <v>846</v>
      </c>
      <c r="B39" s="2278" t="s">
        <v>3355</v>
      </c>
      <c r="C39" s="2346"/>
      <c r="D39" s="2347"/>
      <c r="E39" s="2347"/>
      <c r="F39" s="2348"/>
      <c r="G39" s="2346"/>
      <c r="H39" s="2347"/>
      <c r="I39" s="2353"/>
      <c r="J39" s="2348"/>
      <c r="K39" s="2357"/>
      <c r="L39" s="2353"/>
      <c r="M39" s="2347"/>
      <c r="N39" s="2348"/>
    </row>
    <row r="40" spans="1:14" ht="12.75">
      <c r="A40" s="2277" t="s">
        <v>847</v>
      </c>
      <c r="B40" s="2278" t="s">
        <v>3355</v>
      </c>
      <c r="C40" s="2298"/>
      <c r="D40" s="2247"/>
      <c r="E40" s="2247"/>
      <c r="F40" s="2297"/>
      <c r="G40" s="2298"/>
      <c r="H40" s="2247"/>
      <c r="I40" s="2246"/>
      <c r="J40" s="2297"/>
      <c r="K40" s="2302"/>
      <c r="L40" s="2246"/>
      <c r="M40" s="2247"/>
      <c r="N40" s="2297"/>
    </row>
    <row r="41" spans="1:14" ht="12.75">
      <c r="A41" s="2324" t="s">
        <v>1323</v>
      </c>
      <c r="B41" s="2325" t="s">
        <v>3355</v>
      </c>
      <c r="C41" s="2336"/>
      <c r="D41" s="2337"/>
      <c r="E41" s="2337"/>
      <c r="F41" s="2338"/>
      <c r="G41" s="2336"/>
      <c r="H41" s="2337"/>
      <c r="I41" s="2332"/>
      <c r="J41" s="2338"/>
      <c r="K41" s="2340"/>
      <c r="L41" s="2332"/>
      <c r="M41" s="2337"/>
      <c r="N41" s="2338"/>
    </row>
    <row r="42" spans="1:14" ht="12.75">
      <c r="A42" s="2271" t="s">
        <v>1324</v>
      </c>
      <c r="B42" s="2281" t="s">
        <v>3355</v>
      </c>
      <c r="C42" s="2298"/>
      <c r="D42" s="2247"/>
      <c r="E42" s="2247"/>
      <c r="F42" s="2297"/>
      <c r="G42" s="2298"/>
      <c r="H42" s="2247"/>
      <c r="I42" s="2246"/>
      <c r="J42" s="2297"/>
      <c r="K42" s="2302"/>
      <c r="L42" s="2246"/>
      <c r="M42" s="2247"/>
      <c r="N42" s="2297"/>
    </row>
    <row r="43" spans="1:14" ht="12.75">
      <c r="A43" s="2279" t="s">
        <v>1325</v>
      </c>
      <c r="B43" s="2280" t="s">
        <v>3355</v>
      </c>
      <c r="C43" s="2298"/>
      <c r="D43" s="2247"/>
      <c r="E43" s="2247"/>
      <c r="F43" s="2297"/>
      <c r="G43" s="2298"/>
      <c r="H43" s="2247"/>
      <c r="I43" s="2246"/>
      <c r="J43" s="2297"/>
      <c r="K43" s="2302"/>
      <c r="L43" s="2246"/>
      <c r="M43" s="2247"/>
      <c r="N43" s="2297"/>
    </row>
    <row r="44" spans="1:14" ht="12.75">
      <c r="A44" s="2279" t="s">
        <v>3384</v>
      </c>
      <c r="B44" s="2280" t="s">
        <v>3355</v>
      </c>
      <c r="C44" s="2298"/>
      <c r="D44" s="2247"/>
      <c r="E44" s="2247"/>
      <c r="F44" s="2297"/>
      <c r="G44" s="2298"/>
      <c r="H44" s="2247"/>
      <c r="I44" s="2246"/>
      <c r="J44" s="2297"/>
      <c r="K44" s="2302"/>
      <c r="L44" s="2246"/>
      <c r="M44" s="2247"/>
      <c r="N44" s="2297"/>
    </row>
    <row r="45" spans="1:14" ht="12.75">
      <c r="A45" s="2324" t="s">
        <v>2013</v>
      </c>
      <c r="B45" s="2325" t="s">
        <v>3355</v>
      </c>
      <c r="C45" s="2336"/>
      <c r="D45" s="2337"/>
      <c r="E45" s="2337"/>
      <c r="F45" s="2338"/>
      <c r="G45" s="2354"/>
      <c r="H45" s="2342"/>
      <c r="I45" s="2341"/>
      <c r="J45" s="2343"/>
      <c r="K45" s="2344"/>
      <c r="L45" s="2341"/>
      <c r="M45" s="2342"/>
      <c r="N45" s="2343"/>
    </row>
    <row r="46" spans="1:14" ht="12.75">
      <c r="A46" s="2271" t="s">
        <v>2014</v>
      </c>
      <c r="B46" s="2281" t="s">
        <v>3355</v>
      </c>
      <c r="C46" s="2307"/>
      <c r="D46" s="2305"/>
      <c r="E46" s="2305"/>
      <c r="F46" s="2306"/>
      <c r="G46" s="2307"/>
      <c r="H46" s="2305"/>
      <c r="I46" s="2305"/>
      <c r="J46" s="2306"/>
      <c r="K46" s="2307"/>
      <c r="L46" s="2305"/>
      <c r="M46" s="2305"/>
      <c r="N46" s="2306"/>
    </row>
    <row r="47" spans="1:14" ht="12.75">
      <c r="A47" s="2283" t="s">
        <v>2015</v>
      </c>
      <c r="B47" s="2284" t="s">
        <v>3355</v>
      </c>
      <c r="C47" s="2349"/>
      <c r="D47" s="2247"/>
      <c r="E47" s="2247"/>
      <c r="F47" s="2297"/>
      <c r="G47" s="2298"/>
      <c r="H47" s="2247"/>
      <c r="I47" s="2246"/>
      <c r="J47" s="2297"/>
      <c r="K47" s="2302"/>
      <c r="L47" s="2246"/>
      <c r="M47" s="2247"/>
      <c r="N47" s="2297"/>
    </row>
    <row r="48" spans="1:14" ht="13.5" thickBot="1">
      <c r="A48" s="2285" t="s">
        <v>3385</v>
      </c>
      <c r="B48" s="2286" t="s">
        <v>3355</v>
      </c>
      <c r="C48" s="2350"/>
      <c r="D48" s="2351"/>
      <c r="E48" s="2351"/>
      <c r="F48" s="2352"/>
      <c r="G48" s="2355"/>
      <c r="H48" s="2351"/>
      <c r="I48" s="2356"/>
      <c r="J48" s="2352"/>
      <c r="K48" s="2358"/>
      <c r="L48" s="2356"/>
      <c r="M48" s="2351"/>
      <c r="N48" s="2352"/>
    </row>
    <row r="49" spans="1:14" ht="12">
      <c r="A49" s="2290"/>
      <c r="B49" s="2291"/>
      <c r="C49" s="2289"/>
      <c r="D49" s="2288"/>
      <c r="E49" s="2288"/>
      <c r="F49" s="2287"/>
      <c r="G49" s="2287"/>
      <c r="H49" s="2288"/>
      <c r="I49" s="2287"/>
      <c r="J49" s="2287"/>
      <c r="K49" s="2288"/>
      <c r="L49" s="2287"/>
      <c r="M49" s="2288"/>
      <c r="N49" s="2287"/>
    </row>
    <row r="50" spans="1:14" ht="12">
      <c r="A50" s="2290"/>
      <c r="B50" s="2291"/>
      <c r="C50" s="2289"/>
      <c r="D50" s="2288"/>
      <c r="E50" s="2288"/>
      <c r="F50" s="2287"/>
      <c r="G50" s="2287"/>
      <c r="H50" s="2288"/>
      <c r="I50" s="2287"/>
      <c r="J50" s="2287"/>
      <c r="K50" s="2288"/>
      <c r="L50" s="2287"/>
      <c r="M50" s="2288"/>
      <c r="N50" s="2287"/>
    </row>
    <row r="51" spans="1:14" ht="12">
      <c r="A51" s="2290"/>
      <c r="B51" s="2291"/>
      <c r="C51" s="2289"/>
      <c r="D51" s="2288"/>
      <c r="E51" s="2288"/>
      <c r="F51" s="2287"/>
      <c r="G51" s="2287"/>
      <c r="H51" s="2288"/>
      <c r="I51" s="2287"/>
      <c r="J51" s="2287"/>
      <c r="K51" s="2288"/>
      <c r="L51" s="2287"/>
      <c r="M51" s="2288"/>
      <c r="N51" s="2287"/>
    </row>
    <row r="52" spans="1:14" ht="12">
      <c r="A52" s="2290"/>
      <c r="B52" s="2291"/>
      <c r="C52" s="2289"/>
      <c r="D52" s="2288"/>
      <c r="E52" s="2288"/>
      <c r="F52" s="2287"/>
      <c r="G52" s="2287"/>
      <c r="H52" s="2288"/>
      <c r="I52" s="2287"/>
      <c r="J52" s="2287"/>
      <c r="K52" s="2288"/>
      <c r="L52" s="2287"/>
      <c r="M52" s="2288"/>
      <c r="N52" s="2287"/>
    </row>
    <row r="53" spans="1:14" ht="12">
      <c r="A53" s="2290"/>
      <c r="B53" s="2291"/>
      <c r="C53" s="2289"/>
      <c r="D53" s="2288"/>
      <c r="E53" s="2288"/>
      <c r="F53" s="2287"/>
      <c r="G53" s="2287"/>
      <c r="H53" s="2288"/>
      <c r="I53" s="2287"/>
      <c r="J53" s="2287"/>
      <c r="K53" s="2288"/>
      <c r="L53" s="2287"/>
      <c r="M53" s="2288"/>
      <c r="N53" s="2287"/>
    </row>
    <row r="54" spans="1:14" ht="12">
      <c r="A54" s="2290"/>
      <c r="B54" s="2291"/>
      <c r="C54" s="2289"/>
      <c r="D54" s="2288"/>
      <c r="E54" s="2288"/>
      <c r="F54" s="2287"/>
      <c r="G54" s="2287"/>
      <c r="H54" s="2288"/>
      <c r="I54" s="2287"/>
      <c r="J54" s="2287"/>
      <c r="K54" s="2288"/>
      <c r="L54" s="2287"/>
      <c r="M54" s="2288"/>
      <c r="N54" s="2287"/>
    </row>
    <row r="55" spans="1:14" ht="12">
      <c r="A55" s="2290"/>
      <c r="B55" s="2291"/>
      <c r="C55" s="2289"/>
      <c r="D55" s="2288"/>
      <c r="E55" s="2288"/>
      <c r="F55" s="2287"/>
      <c r="G55" s="2287"/>
      <c r="H55" s="2288"/>
      <c r="I55" s="2287"/>
      <c r="J55" s="2287"/>
      <c r="K55" s="2288"/>
      <c r="L55" s="2287"/>
      <c r="M55" s="2288"/>
      <c r="N55" s="2287"/>
    </row>
    <row r="56" spans="1:14" ht="12">
      <c r="A56" s="2290"/>
      <c r="B56" s="2291"/>
      <c r="C56" s="2289"/>
      <c r="D56" s="2288"/>
      <c r="E56" s="2288"/>
      <c r="F56" s="2287"/>
      <c r="G56" s="2287"/>
      <c r="H56" s="2288"/>
      <c r="I56" s="2287"/>
      <c r="J56" s="2287"/>
      <c r="K56" s="2288"/>
      <c r="L56" s="2287"/>
      <c r="M56" s="2288"/>
      <c r="N56" s="2287"/>
    </row>
    <row r="57" spans="1:14" ht="12" thickBot="1">
      <c r="A57" s="304"/>
      <c r="B57" s="304"/>
      <c r="C57" s="304"/>
      <c r="D57" s="304"/>
      <c r="E57" s="304"/>
      <c r="F57" s="304"/>
      <c r="G57" s="304"/>
      <c r="H57" s="304"/>
      <c r="I57" s="304"/>
      <c r="J57" s="304"/>
      <c r="K57" s="304"/>
      <c r="L57" s="304"/>
      <c r="M57" s="304"/>
      <c r="N57" s="304"/>
    </row>
    <row r="58" spans="1:14">
      <c r="A58" s="394"/>
      <c r="B58" s="923"/>
      <c r="C58" s="2709" t="s">
        <v>3252</v>
      </c>
      <c r="D58" s="2710"/>
      <c r="E58" s="2710"/>
      <c r="F58" s="2711"/>
      <c r="G58" s="2707" t="s">
        <v>1284</v>
      </c>
      <c r="H58" s="2708"/>
      <c r="I58" s="2708"/>
      <c r="J58" s="2712"/>
      <c r="K58" s="2707" t="s">
        <v>66</v>
      </c>
      <c r="L58" s="2708"/>
      <c r="M58" s="2708"/>
      <c r="N58" s="2712"/>
    </row>
    <row r="59" spans="1:14">
      <c r="A59" s="394"/>
      <c r="B59" s="923"/>
      <c r="C59" s="926" t="s">
        <v>3398</v>
      </c>
      <c r="D59" s="924" t="s">
        <v>3399</v>
      </c>
      <c r="E59" s="924" t="s">
        <v>3435</v>
      </c>
      <c r="F59" s="925" t="s">
        <v>3436</v>
      </c>
      <c r="G59" s="926" t="s">
        <v>3398</v>
      </c>
      <c r="H59" s="924" t="s">
        <v>3399</v>
      </c>
      <c r="I59" s="924" t="s">
        <v>3435</v>
      </c>
      <c r="J59" s="925" t="s">
        <v>3436</v>
      </c>
      <c r="K59" s="926" t="s">
        <v>3398</v>
      </c>
      <c r="L59" s="924" t="s">
        <v>3399</v>
      </c>
      <c r="M59" s="924" t="s">
        <v>3435</v>
      </c>
      <c r="N59" s="925" t="s">
        <v>3436</v>
      </c>
    </row>
    <row r="60" spans="1:14" ht="12.75">
      <c r="A60" s="2320" t="s">
        <v>661</v>
      </c>
      <c r="B60" s="2365" t="s">
        <v>3355</v>
      </c>
      <c r="C60" s="2378">
        <f>mo!H46+mo!H117+mo!H219</f>
        <v>5241200</v>
      </c>
      <c r="D60" s="2319">
        <f>mo!H117</f>
        <v>90000</v>
      </c>
      <c r="E60" s="2319">
        <f>mo!I46+mo!I117+mo!I218</f>
        <v>1290219.69</v>
      </c>
      <c r="F60" s="2379">
        <f>mo!I117</f>
        <v>21088.73</v>
      </c>
      <c r="G60" s="2378">
        <f>mo!J46+mo!J117+mo!J218</f>
        <v>3478700</v>
      </c>
      <c r="H60" s="2319">
        <f>mo!J117</f>
        <v>0</v>
      </c>
      <c r="I60" s="2319">
        <f>mo!K46+mo!K117+mo!K218</f>
        <v>882924.21</v>
      </c>
      <c r="J60" s="2379">
        <f>mo!K117</f>
        <v>0</v>
      </c>
      <c r="K60" s="2378">
        <f t="shared" ref="K60:K75" si="0">C5+G5+K5+C60+G60</f>
        <v>36722550.350000001</v>
      </c>
      <c r="L60" s="2319">
        <f t="shared" ref="L60:L75" si="1">D5+H5+L5+D60+H60</f>
        <v>639000</v>
      </c>
      <c r="M60" s="2319">
        <f t="shared" ref="M60:M75" si="2">E5+I5+M5+E60+I60</f>
        <v>8850183.0300000012</v>
      </c>
      <c r="N60" s="2379">
        <f t="shared" ref="N60:N75" si="3">F5+J5+N5+F60+J60</f>
        <v>17906.150000000009</v>
      </c>
    </row>
    <row r="61" spans="1:14" ht="12.75">
      <c r="A61" s="2255" t="s">
        <v>1909</v>
      </c>
      <c r="B61" s="2366" t="s">
        <v>3356</v>
      </c>
      <c r="C61" s="2380">
        <f>mo!H47+mo!H118</f>
        <v>3094500</v>
      </c>
      <c r="D61" s="2308">
        <f>mo!H118</f>
        <v>69000</v>
      </c>
      <c r="E61" s="2308">
        <f>mo!I47+mo!I118</f>
        <v>682636.56</v>
      </c>
      <c r="F61" s="2381">
        <f>mo!I118</f>
        <v>17422.02</v>
      </c>
      <c r="G61" s="2380">
        <f>mo!J47+mo!J118</f>
        <v>1700000</v>
      </c>
      <c r="H61" s="2308">
        <f>mo!J118</f>
        <v>0</v>
      </c>
      <c r="I61" s="2308">
        <f>mo!K47+mo!K118</f>
        <v>328283.32</v>
      </c>
      <c r="J61" s="2381">
        <f>mo!K118</f>
        <v>0</v>
      </c>
      <c r="K61" s="2380">
        <f t="shared" si="0"/>
        <v>20204043.350000001</v>
      </c>
      <c r="L61" s="2308">
        <f t="shared" si="1"/>
        <v>262153</v>
      </c>
      <c r="M61" s="2308">
        <f t="shared" si="2"/>
        <v>4571141.540000001</v>
      </c>
      <c r="N61" s="2381">
        <f t="shared" si="3"/>
        <v>88485.71</v>
      </c>
    </row>
    <row r="62" spans="1:14" ht="12.75">
      <c r="A62" s="2256" t="s">
        <v>1910</v>
      </c>
      <c r="B62" s="2367" t="s">
        <v>3355</v>
      </c>
      <c r="C62" s="2380">
        <f>mo!H48+mo!H120</f>
        <v>399900</v>
      </c>
      <c r="D62" s="2308">
        <f>mo!H120</f>
        <v>0</v>
      </c>
      <c r="E62" s="2308">
        <f>mo!I48+mo!I120</f>
        <v>133730</v>
      </c>
      <c r="F62" s="2381">
        <f>mo!I120</f>
        <v>0</v>
      </c>
      <c r="G62" s="2380">
        <f>mo!J48</f>
        <v>300000</v>
      </c>
      <c r="H62" s="275"/>
      <c r="I62" s="2308">
        <f>mo!K48</f>
        <v>112920</v>
      </c>
      <c r="J62" s="2375"/>
      <c r="K62" s="2380">
        <f t="shared" si="0"/>
        <v>1458250</v>
      </c>
      <c r="L62" s="2308">
        <f t="shared" si="1"/>
        <v>0</v>
      </c>
      <c r="M62" s="2308">
        <f t="shared" si="2"/>
        <v>376299.72</v>
      </c>
      <c r="N62" s="2381">
        <f t="shared" si="3"/>
        <v>300</v>
      </c>
    </row>
    <row r="63" spans="1:14" ht="12.75">
      <c r="A63" s="2256" t="s">
        <v>1911</v>
      </c>
      <c r="B63" s="2367" t="s">
        <v>3357</v>
      </c>
      <c r="C63" s="2380">
        <f>mo!H49+mo!H119</f>
        <v>930100</v>
      </c>
      <c r="D63" s="2308">
        <f>mo!H119</f>
        <v>21000</v>
      </c>
      <c r="E63" s="2308">
        <f>mo!I49+mo!I119</f>
        <v>133146.66</v>
      </c>
      <c r="F63" s="2381">
        <f>mo!I119</f>
        <v>3666.71</v>
      </c>
      <c r="G63" s="2380">
        <f>mo!J49+mo!J119</f>
        <v>581000</v>
      </c>
      <c r="H63" s="2308">
        <f>mo!J119</f>
        <v>0</v>
      </c>
      <c r="I63" s="2308">
        <f>mo!K49+mo!K119</f>
        <v>46755.399999999994</v>
      </c>
      <c r="J63" s="2381">
        <f>mo!K119</f>
        <v>0</v>
      </c>
      <c r="K63" s="2380">
        <f t="shared" si="0"/>
        <v>5960147</v>
      </c>
      <c r="L63" s="2308">
        <f t="shared" si="1"/>
        <v>137785</v>
      </c>
      <c r="M63" s="2308">
        <f t="shared" si="2"/>
        <v>1120847.73</v>
      </c>
      <c r="N63" s="2381">
        <f t="shared" si="3"/>
        <v>-70879.559999999983</v>
      </c>
    </row>
    <row r="64" spans="1:14" ht="12.75">
      <c r="A64" s="2321" t="s">
        <v>1913</v>
      </c>
      <c r="B64" s="2368" t="s">
        <v>3355</v>
      </c>
      <c r="C64" s="2378">
        <f>mo!H117</f>
        <v>90000</v>
      </c>
      <c r="D64" s="2319">
        <f>mo!H117</f>
        <v>90000</v>
      </c>
      <c r="E64" s="2319">
        <f>mo!I117</f>
        <v>21088.73</v>
      </c>
      <c r="F64" s="2379">
        <f>mo!I117</f>
        <v>21088.73</v>
      </c>
      <c r="G64" s="2378">
        <f>mo!J117</f>
        <v>0</v>
      </c>
      <c r="H64" s="2319">
        <f>mo!J117</f>
        <v>0</v>
      </c>
      <c r="I64" s="2319">
        <f>mo!K117</f>
        <v>0</v>
      </c>
      <c r="J64" s="2379">
        <f>mo!K117</f>
        <v>0</v>
      </c>
      <c r="K64" s="2378">
        <f t="shared" si="0"/>
        <v>639000</v>
      </c>
      <c r="L64" s="2319">
        <f t="shared" si="1"/>
        <v>639000</v>
      </c>
      <c r="M64" s="2319">
        <f t="shared" si="2"/>
        <v>17906.150000000009</v>
      </c>
      <c r="N64" s="2379">
        <f t="shared" si="3"/>
        <v>17906.150000000009</v>
      </c>
    </row>
    <row r="65" spans="1:14" ht="12.75">
      <c r="A65" s="2258" t="s">
        <v>1914</v>
      </c>
      <c r="B65" s="2366" t="s">
        <v>3356</v>
      </c>
      <c r="C65" s="2380">
        <f>mo!H118</f>
        <v>69000</v>
      </c>
      <c r="D65" s="2308">
        <f>mo!H118</f>
        <v>69000</v>
      </c>
      <c r="E65" s="2308">
        <f>mo!I118</f>
        <v>17422.02</v>
      </c>
      <c r="F65" s="2381">
        <f>mo!I118</f>
        <v>17422.02</v>
      </c>
      <c r="G65" s="2380">
        <f>mo!J118</f>
        <v>0</v>
      </c>
      <c r="H65" s="2308">
        <f>mo!J118</f>
        <v>0</v>
      </c>
      <c r="I65" s="2308">
        <f>mo!K118</f>
        <v>0</v>
      </c>
      <c r="J65" s="2381">
        <f>mo!K118</f>
        <v>0</v>
      </c>
      <c r="K65" s="2380">
        <f t="shared" si="0"/>
        <v>454705</v>
      </c>
      <c r="L65" s="2308">
        <f t="shared" si="1"/>
        <v>454705</v>
      </c>
      <c r="M65" s="2308">
        <f t="shared" si="2"/>
        <v>88485.71</v>
      </c>
      <c r="N65" s="2381">
        <f t="shared" si="3"/>
        <v>88485.71</v>
      </c>
    </row>
    <row r="66" spans="1:14" ht="12.75">
      <c r="A66" s="2259" t="s">
        <v>1915</v>
      </c>
      <c r="B66" s="2367" t="s">
        <v>3355</v>
      </c>
      <c r="C66" s="2380">
        <f>mo!F120</f>
        <v>0</v>
      </c>
      <c r="D66" s="2308">
        <f>mo!H120</f>
        <v>0</v>
      </c>
      <c r="E66" s="2308">
        <f>mo!I120</f>
        <v>0</v>
      </c>
      <c r="F66" s="2381">
        <f>mo!I120</f>
        <v>0</v>
      </c>
      <c r="G66" s="309"/>
      <c r="H66" s="275"/>
      <c r="I66" s="275"/>
      <c r="J66" s="2375"/>
      <c r="K66" s="2380">
        <f t="shared" si="0"/>
        <v>0</v>
      </c>
      <c r="L66" s="2308">
        <f t="shared" si="1"/>
        <v>0</v>
      </c>
      <c r="M66" s="2308">
        <f t="shared" si="2"/>
        <v>300</v>
      </c>
      <c r="N66" s="2381">
        <f t="shared" si="3"/>
        <v>300</v>
      </c>
    </row>
    <row r="67" spans="1:14" ht="12.75">
      <c r="A67" s="2256" t="s">
        <v>1916</v>
      </c>
      <c r="B67" s="2367" t="s">
        <v>3357</v>
      </c>
      <c r="C67" s="2380">
        <f>mo!H119</f>
        <v>21000</v>
      </c>
      <c r="D67" s="2308">
        <f>mo!H119</f>
        <v>21000</v>
      </c>
      <c r="E67" s="2308">
        <f>mo!I119</f>
        <v>3666.71</v>
      </c>
      <c r="F67" s="2381">
        <f>mo!I119</f>
        <v>3666.71</v>
      </c>
      <c r="G67" s="2380">
        <f>mo!J119</f>
        <v>0</v>
      </c>
      <c r="H67" s="275"/>
      <c r="I67" s="2308">
        <f>mo!K119</f>
        <v>0</v>
      </c>
      <c r="J67" s="2375"/>
      <c r="K67" s="2380">
        <f t="shared" si="0"/>
        <v>137785</v>
      </c>
      <c r="L67" s="2308">
        <f t="shared" si="1"/>
        <v>137785</v>
      </c>
      <c r="M67" s="2308">
        <f t="shared" si="2"/>
        <v>-70879.559999999983</v>
      </c>
      <c r="N67" s="2381">
        <f t="shared" si="3"/>
        <v>-70879.559999999983</v>
      </c>
    </row>
    <row r="68" spans="1:14" ht="12.75">
      <c r="A68" s="2264" t="s">
        <v>2276</v>
      </c>
      <c r="B68" s="2369" t="s">
        <v>3355</v>
      </c>
      <c r="C68" s="2380">
        <f>mo!H38+mo!H39</f>
        <v>90700</v>
      </c>
      <c r="D68" s="2308">
        <f>mo!H38</f>
        <v>90000</v>
      </c>
      <c r="E68" s="2308">
        <f>mo!I38+mo!I39</f>
        <v>21088.73</v>
      </c>
      <c r="F68" s="2381">
        <f>mo!I38</f>
        <v>21088.73</v>
      </c>
      <c r="G68" s="2380">
        <f>mo!J38+mo!J39</f>
        <v>700</v>
      </c>
      <c r="H68" s="2308">
        <f>mo!J38</f>
        <v>0</v>
      </c>
      <c r="I68" s="2308">
        <f>mo!K38+mo!K39</f>
        <v>0</v>
      </c>
      <c r="J68" s="2381">
        <f>mo!K38</f>
        <v>0</v>
      </c>
      <c r="K68" s="2380">
        <f t="shared" si="0"/>
        <v>642500</v>
      </c>
      <c r="L68" s="2308">
        <f t="shared" si="1"/>
        <v>639000</v>
      </c>
      <c r="M68" s="2308">
        <f t="shared" si="2"/>
        <v>107155.02999999998</v>
      </c>
      <c r="N68" s="2381">
        <f t="shared" si="3"/>
        <v>107155.02999999998</v>
      </c>
    </row>
    <row r="69" spans="1:14" ht="12.75">
      <c r="A69" s="2264" t="s">
        <v>1908</v>
      </c>
      <c r="B69" s="2369" t="s">
        <v>3355</v>
      </c>
      <c r="C69" s="2380">
        <f>mo!H157</f>
        <v>118000</v>
      </c>
      <c r="D69" s="275"/>
      <c r="E69" s="2308">
        <f>mo!I157</f>
        <v>0</v>
      </c>
      <c r="F69" s="2375"/>
      <c r="G69" s="2380">
        <f>mo!J157</f>
        <v>0</v>
      </c>
      <c r="H69" s="275"/>
      <c r="I69" s="2308">
        <f>mo!K157</f>
        <v>0</v>
      </c>
      <c r="J69" s="2375"/>
      <c r="K69" s="2380">
        <f t="shared" si="0"/>
        <v>2986490</v>
      </c>
      <c r="L69" s="2308">
        <f t="shared" si="1"/>
        <v>0</v>
      </c>
      <c r="M69" s="2308">
        <f t="shared" si="2"/>
        <v>281890</v>
      </c>
      <c r="N69" s="2381">
        <f t="shared" si="3"/>
        <v>0</v>
      </c>
    </row>
    <row r="70" spans="1:14" ht="12.75">
      <c r="A70" s="2264" t="s">
        <v>303</v>
      </c>
      <c r="B70" s="2369" t="s">
        <v>3355</v>
      </c>
      <c r="C70" s="2380">
        <f>mo!H168</f>
        <v>328200</v>
      </c>
      <c r="D70" s="275"/>
      <c r="E70" s="2308">
        <f>mo!I168</f>
        <v>79471</v>
      </c>
      <c r="F70" s="2375"/>
      <c r="G70" s="2380">
        <f>mo!J168</f>
        <v>2232000</v>
      </c>
      <c r="H70" s="275"/>
      <c r="I70" s="2308">
        <f>mo!K168</f>
        <v>0</v>
      </c>
      <c r="J70" s="2375"/>
      <c r="K70" s="2380">
        <f t="shared" si="0"/>
        <v>9088717.4299999997</v>
      </c>
      <c r="L70" s="2308">
        <f t="shared" si="1"/>
        <v>0</v>
      </c>
      <c r="M70" s="2308">
        <f t="shared" si="2"/>
        <v>211508</v>
      </c>
      <c r="N70" s="2381">
        <f t="shared" si="3"/>
        <v>0</v>
      </c>
    </row>
    <row r="71" spans="1:14" ht="12.75">
      <c r="A71" s="2264" t="s">
        <v>665</v>
      </c>
      <c r="B71" s="2369" t="s">
        <v>3355</v>
      </c>
      <c r="C71" s="2380">
        <f>mo!H182</f>
        <v>1356800</v>
      </c>
      <c r="D71" s="275"/>
      <c r="E71" s="2308">
        <f>mo!I182</f>
        <v>0</v>
      </c>
      <c r="F71" s="2375"/>
      <c r="G71" s="2380">
        <f>mo!J182</f>
        <v>0</v>
      </c>
      <c r="H71" s="275"/>
      <c r="I71" s="2308">
        <f>mo!K182</f>
        <v>0</v>
      </c>
      <c r="J71" s="2375"/>
      <c r="K71" s="2380">
        <f t="shared" si="0"/>
        <v>3402892.2199999997</v>
      </c>
      <c r="L71" s="2308">
        <f t="shared" si="1"/>
        <v>0</v>
      </c>
      <c r="M71" s="2308">
        <f t="shared" si="2"/>
        <v>219904.32</v>
      </c>
      <c r="N71" s="2381">
        <f t="shared" si="3"/>
        <v>0</v>
      </c>
    </row>
    <row r="72" spans="1:14" ht="12.75">
      <c r="A72" s="2264" t="s">
        <v>2277</v>
      </c>
      <c r="B72" s="2369" t="s">
        <v>3355</v>
      </c>
      <c r="C72" s="2380">
        <f>mo!H219</f>
        <v>135000</v>
      </c>
      <c r="D72" s="275"/>
      <c r="E72" s="2308">
        <f>mo!I219</f>
        <v>29442</v>
      </c>
      <c r="F72" s="2375"/>
      <c r="G72" s="2380">
        <f>mo!J219</f>
        <v>400000</v>
      </c>
      <c r="H72" s="275"/>
      <c r="I72" s="2308">
        <f>mo!K219</f>
        <v>92526.16</v>
      </c>
      <c r="J72" s="2375"/>
      <c r="K72" s="2380">
        <f t="shared" si="0"/>
        <v>638000</v>
      </c>
      <c r="L72" s="2308">
        <f t="shared" si="1"/>
        <v>0</v>
      </c>
      <c r="M72" s="2308">
        <f t="shared" si="2"/>
        <v>141506.16</v>
      </c>
      <c r="N72" s="2381">
        <f t="shared" si="3"/>
        <v>0</v>
      </c>
    </row>
    <row r="73" spans="1:14" ht="12.75">
      <c r="A73" s="2264" t="s">
        <v>1072</v>
      </c>
      <c r="B73" s="2369" t="s">
        <v>3355</v>
      </c>
      <c r="C73" s="2380">
        <f>mo!H114</f>
        <v>5000</v>
      </c>
      <c r="D73" s="275"/>
      <c r="E73" s="2308">
        <f>mo!I114</f>
        <v>0</v>
      </c>
      <c r="F73" s="2375"/>
      <c r="G73" s="2380">
        <f>mo!J113</f>
        <v>3000</v>
      </c>
      <c r="H73" s="275"/>
      <c r="I73" s="2308">
        <f>mo!K113</f>
        <v>0</v>
      </c>
      <c r="J73" s="2375"/>
      <c r="K73" s="2380">
        <f t="shared" si="0"/>
        <v>23000</v>
      </c>
      <c r="L73" s="2308">
        <f t="shared" si="1"/>
        <v>0</v>
      </c>
      <c r="M73" s="2308">
        <f t="shared" si="2"/>
        <v>0</v>
      </c>
      <c r="N73" s="2381">
        <f t="shared" si="3"/>
        <v>0</v>
      </c>
    </row>
    <row r="74" spans="1:14" ht="12.75">
      <c r="A74" s="2264" t="s">
        <v>164</v>
      </c>
      <c r="B74" s="2369" t="s">
        <v>3355</v>
      </c>
      <c r="C74" s="2380">
        <f>mo!H26-mo!H29</f>
        <v>6851200</v>
      </c>
      <c r="D74" s="2308">
        <f>mo!H38</f>
        <v>90000</v>
      </c>
      <c r="E74" s="2308">
        <f>mo!I26-mo!I29-121219.86</f>
        <v>1588868.8699999999</v>
      </c>
      <c r="F74" s="2381">
        <f>mo!I38</f>
        <v>21088.73</v>
      </c>
      <c r="G74" s="2380">
        <f>mo!J26-mo!J29</f>
        <v>7375500</v>
      </c>
      <c r="H74" s="2308">
        <f>mo!J38</f>
        <v>0</v>
      </c>
      <c r="I74" s="2308">
        <f>mo!K26-mo!K29-674518.91</f>
        <v>1170481.0899999999</v>
      </c>
      <c r="J74" s="2381">
        <f>mo!K38</f>
        <v>0</v>
      </c>
      <c r="K74" s="2380">
        <f t="shared" si="0"/>
        <v>45640600</v>
      </c>
      <c r="L74" s="2308">
        <f t="shared" si="1"/>
        <v>639000</v>
      </c>
      <c r="M74" s="2308">
        <f t="shared" si="2"/>
        <v>9121339.9899999984</v>
      </c>
      <c r="N74" s="2381">
        <f t="shared" si="3"/>
        <v>107155.02999999998</v>
      </c>
    </row>
    <row r="75" spans="1:14" ht="12.75">
      <c r="A75" s="2261" t="s">
        <v>2231</v>
      </c>
      <c r="B75" s="2370" t="s">
        <v>3355</v>
      </c>
      <c r="C75" s="2380">
        <f>mo!H38</f>
        <v>90000</v>
      </c>
      <c r="D75" s="2308">
        <f>mo!H38</f>
        <v>90000</v>
      </c>
      <c r="E75" s="2308">
        <f>mo!I38</f>
        <v>21088.73</v>
      </c>
      <c r="F75" s="2381">
        <f>mo!I38</f>
        <v>21088.73</v>
      </c>
      <c r="G75" s="2380">
        <f>mo!J38</f>
        <v>0</v>
      </c>
      <c r="H75" s="2308">
        <f>mo!J38</f>
        <v>0</v>
      </c>
      <c r="I75" s="2308">
        <f>mo!K38</f>
        <v>0</v>
      </c>
      <c r="J75" s="2381">
        <f>mo!K38</f>
        <v>0</v>
      </c>
      <c r="K75" s="2380">
        <f t="shared" si="0"/>
        <v>639000</v>
      </c>
      <c r="L75" s="2308">
        <f t="shared" si="1"/>
        <v>639000</v>
      </c>
      <c r="M75" s="2308">
        <f t="shared" si="2"/>
        <v>107155.02999999998</v>
      </c>
      <c r="N75" s="2381">
        <f t="shared" si="3"/>
        <v>107155.02999999998</v>
      </c>
    </row>
    <row r="76" spans="1:14" ht="12.75">
      <c r="A76" s="2320" t="s">
        <v>2211</v>
      </c>
      <c r="B76" s="2365" t="s">
        <v>3355</v>
      </c>
      <c r="C76" s="2359" t="s">
        <v>32</v>
      </c>
      <c r="D76" s="2322" t="s">
        <v>32</v>
      </c>
      <c r="E76" s="2319">
        <f>mo!I263</f>
        <v>1876283.63</v>
      </c>
      <c r="F76" s="2374">
        <f>F77</f>
        <v>0</v>
      </c>
      <c r="G76" s="2359" t="s">
        <v>32</v>
      </c>
      <c r="H76" s="2322" t="s">
        <v>32</v>
      </c>
      <c r="I76" s="2319">
        <f>mo!K263</f>
        <v>834181.19</v>
      </c>
      <c r="J76" s="2374">
        <f>J77</f>
        <v>0</v>
      </c>
      <c r="K76" s="2390" t="s">
        <v>32</v>
      </c>
      <c r="L76" s="2391" t="s">
        <v>32</v>
      </c>
      <c r="M76" s="2319">
        <f t="shared" ref="M76:M92" si="4">E21+I21+M21+E76+I76</f>
        <v>5229751.3499999996</v>
      </c>
      <c r="N76" s="2379">
        <f t="shared" ref="N76:N92" si="5">F21+J21+N21+F76+J76</f>
        <v>89248.88</v>
      </c>
    </row>
    <row r="77" spans="1:14" ht="12.75">
      <c r="A77" s="2255" t="s">
        <v>2212</v>
      </c>
      <c r="B77" s="2371" t="s">
        <v>3355</v>
      </c>
      <c r="C77" s="2360" t="s">
        <v>32</v>
      </c>
      <c r="D77" s="2323" t="s">
        <v>32</v>
      </c>
      <c r="E77" s="275"/>
      <c r="F77" s="2381">
        <f>mo!I38-mo!I117</f>
        <v>0</v>
      </c>
      <c r="G77" s="2360" t="s">
        <v>32</v>
      </c>
      <c r="H77" s="2323" t="s">
        <v>32</v>
      </c>
      <c r="I77" s="275"/>
      <c r="J77" s="2381">
        <f>mo!K38-mo!K117</f>
        <v>0</v>
      </c>
      <c r="K77" s="2392" t="s">
        <v>32</v>
      </c>
      <c r="L77" s="2345" t="s">
        <v>32</v>
      </c>
      <c r="M77" s="2308">
        <f t="shared" si="4"/>
        <v>0</v>
      </c>
      <c r="N77" s="2381">
        <f t="shared" si="5"/>
        <v>89248.88</v>
      </c>
    </row>
    <row r="78" spans="1:14" ht="12.75">
      <c r="A78" s="2253" t="s">
        <v>2213</v>
      </c>
      <c r="B78" s="2372" t="s">
        <v>3355</v>
      </c>
      <c r="C78" s="2359" t="s">
        <v>32</v>
      </c>
      <c r="D78" s="2373" t="s">
        <v>32</v>
      </c>
      <c r="E78" s="2318"/>
      <c r="F78" s="2374"/>
      <c r="G78" s="2359" t="s">
        <v>32</v>
      </c>
      <c r="H78" s="2373" t="s">
        <v>32</v>
      </c>
      <c r="I78" s="2318"/>
      <c r="J78" s="2374"/>
      <c r="K78" s="2378"/>
      <c r="L78" s="2319"/>
      <c r="M78" s="2319">
        <f t="shared" si="4"/>
        <v>0</v>
      </c>
      <c r="N78" s="2379">
        <f t="shared" si="5"/>
        <v>0</v>
      </c>
    </row>
    <row r="79" spans="1:14" ht="12.75">
      <c r="A79" s="2255" t="s">
        <v>2214</v>
      </c>
      <c r="B79" s="2371" t="s">
        <v>3355</v>
      </c>
      <c r="C79" s="2360" t="s">
        <v>32</v>
      </c>
      <c r="D79" s="2323" t="s">
        <v>32</v>
      </c>
      <c r="E79" s="275"/>
      <c r="F79" s="2375"/>
      <c r="G79" s="2360" t="s">
        <v>32</v>
      </c>
      <c r="H79" s="2323" t="s">
        <v>32</v>
      </c>
      <c r="I79" s="275"/>
      <c r="J79" s="2375"/>
      <c r="K79" s="2360" t="s">
        <v>32</v>
      </c>
      <c r="L79" s="2323" t="s">
        <v>32</v>
      </c>
      <c r="M79" s="2308">
        <f t="shared" si="4"/>
        <v>0</v>
      </c>
      <c r="N79" s="2381">
        <f t="shared" si="5"/>
        <v>0</v>
      </c>
    </row>
    <row r="80" spans="1:14" ht="12.75">
      <c r="A80" s="2261" t="s">
        <v>2215</v>
      </c>
      <c r="B80" s="2370" t="s">
        <v>3355</v>
      </c>
      <c r="C80" s="2360" t="s">
        <v>32</v>
      </c>
      <c r="D80" s="2323" t="s">
        <v>32</v>
      </c>
      <c r="E80" s="275"/>
      <c r="F80" s="2375"/>
      <c r="G80" s="2360" t="s">
        <v>32</v>
      </c>
      <c r="H80" s="2323" t="s">
        <v>32</v>
      </c>
      <c r="I80" s="275"/>
      <c r="J80" s="2375"/>
      <c r="K80" s="2360" t="s">
        <v>32</v>
      </c>
      <c r="L80" s="2323" t="s">
        <v>32</v>
      </c>
      <c r="M80" s="2308">
        <f t="shared" si="4"/>
        <v>0</v>
      </c>
      <c r="N80" s="2381">
        <f t="shared" si="5"/>
        <v>0</v>
      </c>
    </row>
    <row r="81" spans="1:14" ht="12.75">
      <c r="A81" s="2261" t="s">
        <v>2216</v>
      </c>
      <c r="B81" s="2370" t="s">
        <v>3355</v>
      </c>
      <c r="C81" s="2360" t="s">
        <v>32</v>
      </c>
      <c r="D81" s="2323" t="s">
        <v>32</v>
      </c>
      <c r="E81" s="275"/>
      <c r="F81" s="2375"/>
      <c r="G81" s="2360" t="s">
        <v>32</v>
      </c>
      <c r="H81" s="2323" t="s">
        <v>32</v>
      </c>
      <c r="I81" s="275"/>
      <c r="J81" s="2375"/>
      <c r="K81" s="2360" t="s">
        <v>32</v>
      </c>
      <c r="L81" s="2323" t="s">
        <v>32</v>
      </c>
      <c r="M81" s="2308">
        <f t="shared" si="4"/>
        <v>0</v>
      </c>
      <c r="N81" s="2381">
        <f t="shared" si="5"/>
        <v>0</v>
      </c>
    </row>
    <row r="82" spans="1:14" ht="12.75">
      <c r="A82" s="2261" t="s">
        <v>2217</v>
      </c>
      <c r="B82" s="2370" t="s">
        <v>3355</v>
      </c>
      <c r="C82" s="2360" t="s">
        <v>32</v>
      </c>
      <c r="D82" s="2323" t="s">
        <v>32</v>
      </c>
      <c r="E82" s="275"/>
      <c r="F82" s="2375"/>
      <c r="G82" s="2360" t="s">
        <v>32</v>
      </c>
      <c r="H82" s="2323" t="s">
        <v>32</v>
      </c>
      <c r="I82" s="275"/>
      <c r="J82" s="2375"/>
      <c r="K82" s="2360" t="s">
        <v>32</v>
      </c>
      <c r="L82" s="2323" t="s">
        <v>32</v>
      </c>
      <c r="M82" s="2308">
        <f t="shared" si="4"/>
        <v>0</v>
      </c>
      <c r="N82" s="2381">
        <f t="shared" si="5"/>
        <v>0</v>
      </c>
    </row>
    <row r="83" spans="1:14" ht="12.75">
      <c r="A83" s="2261" t="s">
        <v>3373</v>
      </c>
      <c r="B83" s="2370" t="s">
        <v>3355</v>
      </c>
      <c r="C83" s="2360" t="s">
        <v>32</v>
      </c>
      <c r="D83" s="2323" t="s">
        <v>32</v>
      </c>
      <c r="E83" s="275"/>
      <c r="F83" s="2375"/>
      <c r="G83" s="2360" t="s">
        <v>32</v>
      </c>
      <c r="H83" s="2323" t="s">
        <v>32</v>
      </c>
      <c r="I83" s="275"/>
      <c r="J83" s="2375"/>
      <c r="K83" s="2360" t="s">
        <v>32</v>
      </c>
      <c r="L83" s="2323" t="s">
        <v>32</v>
      </c>
      <c r="M83" s="2308">
        <f t="shared" si="4"/>
        <v>0</v>
      </c>
      <c r="N83" s="2381">
        <f t="shared" si="5"/>
        <v>0</v>
      </c>
    </row>
    <row r="84" spans="1:14" ht="12.75">
      <c r="A84" s="2264" t="s">
        <v>3374</v>
      </c>
      <c r="B84" s="2369" t="s">
        <v>3355</v>
      </c>
      <c r="C84" s="2380">
        <f>mo!H50+mo!H51+mo!H121+mo!H122+mo!H130+mo!H131+mo!H141+mo!H142+mo!H156+mo!H158+mo!H166+mo!H169+mo!H184+mo!H196+mo!H210+mo!H230</f>
        <v>2866700</v>
      </c>
      <c r="D84" s="275"/>
      <c r="E84" s="2308">
        <f>mo!I50+mo!I51+mo!I76+mo!I77+mo!I90+mo!I91+mo!I112+mo!I116+mo!I121+mo!I122+mo!I130+mo!I131+mo!I141+mo!I142+mo!I156+mo!I158+mo!I159+mo!I166+mo!I169+mo!I184+mo!I196+mo!I210+mo!I223+mo!I230</f>
        <v>697789.94</v>
      </c>
      <c r="F84" s="2375"/>
      <c r="G84" s="2380">
        <f>mo!J50+mo!J51+mo!J121+mo!J122+mo!J130+mo!J131+mo!J141+mo!J142+mo!J156+mo!J158+mo!J159+mo!J166+mo!J169+mo!J184+mo!J196+mo!J210+mo!J223+mo!J230</f>
        <v>2906700</v>
      </c>
      <c r="H84" s="275"/>
      <c r="I84" s="2308">
        <f>mo!K50+mo!K51+mo!K121+mo!K122+mo!K130+mo!K131+mo!K141+mo!K142+mo!K156+mo!K166+mo!K169+mo!K184+mo!K196+mo!K210+mo!K223+mo!K229</f>
        <v>300972.95</v>
      </c>
      <c r="J84" s="2375"/>
      <c r="K84" s="2380">
        <f t="shared" ref="K84:K92" si="6">C29+G29+K29+C84+G84</f>
        <v>27456919.649999999</v>
      </c>
      <c r="L84" s="2308">
        <f t="shared" ref="L84:L92" si="7">D29+H29+L29+D84+H84</f>
        <v>0</v>
      </c>
      <c r="M84" s="2308">
        <f t="shared" si="4"/>
        <v>2909952.96</v>
      </c>
      <c r="N84" s="2381">
        <f t="shared" si="5"/>
        <v>0</v>
      </c>
    </row>
    <row r="85" spans="1:14" ht="12.75">
      <c r="A85" s="2253" t="s">
        <v>762</v>
      </c>
      <c r="B85" s="2372" t="s">
        <v>3355</v>
      </c>
      <c r="C85" s="309"/>
      <c r="D85" s="275"/>
      <c r="E85" s="275"/>
      <c r="F85" s="2375"/>
      <c r="G85" s="309"/>
      <c r="H85" s="275"/>
      <c r="I85" s="275"/>
      <c r="J85" s="2375"/>
      <c r="K85" s="2380">
        <f t="shared" si="6"/>
        <v>0</v>
      </c>
      <c r="L85" s="2308">
        <f t="shared" si="7"/>
        <v>0</v>
      </c>
      <c r="M85" s="2308">
        <f t="shared" si="4"/>
        <v>0</v>
      </c>
      <c r="N85" s="2381">
        <f t="shared" si="5"/>
        <v>0</v>
      </c>
    </row>
    <row r="86" spans="1:14" ht="12.75">
      <c r="A86" s="2255" t="s">
        <v>2100</v>
      </c>
      <c r="B86" s="2371" t="s">
        <v>3355</v>
      </c>
      <c r="C86" s="309"/>
      <c r="D86" s="275"/>
      <c r="E86" s="275"/>
      <c r="F86" s="2375"/>
      <c r="G86" s="309"/>
      <c r="H86" s="275"/>
      <c r="I86" s="275"/>
      <c r="J86" s="2375"/>
      <c r="K86" s="2380">
        <f t="shared" si="6"/>
        <v>0</v>
      </c>
      <c r="L86" s="2308">
        <f t="shared" si="7"/>
        <v>0</v>
      </c>
      <c r="M86" s="2308">
        <f t="shared" si="4"/>
        <v>0</v>
      </c>
      <c r="N86" s="2381">
        <f t="shared" si="5"/>
        <v>0</v>
      </c>
    </row>
    <row r="87" spans="1:14" ht="12.75">
      <c r="A87" s="2261" t="s">
        <v>2101</v>
      </c>
      <c r="B87" s="2370" t="s">
        <v>3355</v>
      </c>
      <c r="C87" s="309"/>
      <c r="D87" s="275"/>
      <c r="E87" s="275"/>
      <c r="F87" s="2375"/>
      <c r="G87" s="309"/>
      <c r="H87" s="275"/>
      <c r="I87" s="275"/>
      <c r="J87" s="2375"/>
      <c r="K87" s="2380">
        <f t="shared" si="6"/>
        <v>0</v>
      </c>
      <c r="L87" s="2308">
        <f t="shared" si="7"/>
        <v>0</v>
      </c>
      <c r="M87" s="2308">
        <f t="shared" si="4"/>
        <v>0</v>
      </c>
      <c r="N87" s="2381">
        <f t="shared" si="5"/>
        <v>0</v>
      </c>
    </row>
    <row r="88" spans="1:14" ht="12.75">
      <c r="A88" s="2261" t="s">
        <v>2104</v>
      </c>
      <c r="B88" s="2370" t="s">
        <v>3355</v>
      </c>
      <c r="C88" s="309"/>
      <c r="D88" s="275"/>
      <c r="E88" s="275"/>
      <c r="F88" s="2375"/>
      <c r="G88" s="309"/>
      <c r="H88" s="275"/>
      <c r="I88" s="275"/>
      <c r="J88" s="2375"/>
      <c r="K88" s="2380">
        <f t="shared" si="6"/>
        <v>0</v>
      </c>
      <c r="L88" s="2308">
        <f t="shared" si="7"/>
        <v>0</v>
      </c>
      <c r="M88" s="2308">
        <f t="shared" si="4"/>
        <v>0</v>
      </c>
      <c r="N88" s="2381">
        <f t="shared" si="5"/>
        <v>0</v>
      </c>
    </row>
    <row r="89" spans="1:14" ht="12.75">
      <c r="A89" s="2253" t="s">
        <v>2105</v>
      </c>
      <c r="B89" s="2372" t="s">
        <v>3355</v>
      </c>
      <c r="C89" s="309"/>
      <c r="D89" s="275"/>
      <c r="E89" s="275"/>
      <c r="F89" s="2375"/>
      <c r="G89" s="309"/>
      <c r="H89" s="275"/>
      <c r="I89" s="275"/>
      <c r="J89" s="2375"/>
      <c r="K89" s="2380">
        <f t="shared" si="6"/>
        <v>0</v>
      </c>
      <c r="L89" s="2308">
        <f t="shared" si="7"/>
        <v>0</v>
      </c>
      <c r="M89" s="2308">
        <f t="shared" si="4"/>
        <v>0</v>
      </c>
      <c r="N89" s="2381">
        <f t="shared" si="5"/>
        <v>0</v>
      </c>
    </row>
    <row r="90" spans="1:14" ht="12.75">
      <c r="A90" s="2255" t="s">
        <v>2106</v>
      </c>
      <c r="B90" s="2371" t="s">
        <v>3355</v>
      </c>
      <c r="C90" s="309"/>
      <c r="D90" s="275"/>
      <c r="E90" s="275"/>
      <c r="F90" s="2375"/>
      <c r="G90" s="309"/>
      <c r="H90" s="275"/>
      <c r="I90" s="275"/>
      <c r="J90" s="2375"/>
      <c r="K90" s="2380">
        <f t="shared" si="6"/>
        <v>0</v>
      </c>
      <c r="L90" s="2308">
        <f t="shared" si="7"/>
        <v>0</v>
      </c>
      <c r="M90" s="2308">
        <f t="shared" si="4"/>
        <v>0</v>
      </c>
      <c r="N90" s="2381">
        <f t="shared" si="5"/>
        <v>0</v>
      </c>
    </row>
    <row r="91" spans="1:14" ht="12.75">
      <c r="A91" s="2261" t="s">
        <v>2107</v>
      </c>
      <c r="B91" s="2370" t="s">
        <v>3355</v>
      </c>
      <c r="C91" s="309"/>
      <c r="D91" s="275"/>
      <c r="E91" s="275"/>
      <c r="F91" s="2375"/>
      <c r="G91" s="309"/>
      <c r="H91" s="275"/>
      <c r="I91" s="275"/>
      <c r="J91" s="2375"/>
      <c r="K91" s="2380">
        <f t="shared" si="6"/>
        <v>0</v>
      </c>
      <c r="L91" s="2308">
        <f t="shared" si="7"/>
        <v>0</v>
      </c>
      <c r="M91" s="2308">
        <f t="shared" si="4"/>
        <v>0</v>
      </c>
      <c r="N91" s="2381">
        <f t="shared" si="5"/>
        <v>0</v>
      </c>
    </row>
    <row r="92" spans="1:14" ht="13.5" thickBot="1">
      <c r="A92" s="2261" t="s">
        <v>2108</v>
      </c>
      <c r="B92" s="2370" t="s">
        <v>3355</v>
      </c>
      <c r="C92" s="310"/>
      <c r="D92" s="2376"/>
      <c r="E92" s="2376"/>
      <c r="F92" s="2377"/>
      <c r="G92" s="310"/>
      <c r="H92" s="2376"/>
      <c r="I92" s="2376"/>
      <c r="J92" s="2377"/>
      <c r="K92" s="2382">
        <f t="shared" si="6"/>
        <v>0</v>
      </c>
      <c r="L92" s="2383">
        <f t="shared" si="7"/>
        <v>0</v>
      </c>
      <c r="M92" s="2383">
        <f t="shared" si="4"/>
        <v>0</v>
      </c>
      <c r="N92" s="2384">
        <f t="shared" si="5"/>
        <v>0</v>
      </c>
    </row>
    <row r="93" spans="1:14" ht="13.5" thickBot="1">
      <c r="A93" s="2703" t="s">
        <v>3407</v>
      </c>
      <c r="B93" s="2704"/>
      <c r="C93" s="2705"/>
      <c r="D93" s="2705"/>
      <c r="E93" s="2705"/>
      <c r="F93" s="2705"/>
      <c r="G93" s="2705"/>
      <c r="H93" s="2705"/>
      <c r="I93" s="2705"/>
      <c r="J93" s="2705"/>
      <c r="K93" s="2705"/>
      <c r="L93" s="2705"/>
      <c r="M93" s="2705"/>
      <c r="N93" s="2706"/>
    </row>
    <row r="94" spans="1:14" ht="12.75">
      <c r="A94" s="2265" t="s">
        <v>846</v>
      </c>
      <c r="B94" s="2369" t="s">
        <v>3355</v>
      </c>
      <c r="C94" s="308"/>
      <c r="D94" s="2385"/>
      <c r="E94" s="2385"/>
      <c r="F94" s="2386"/>
      <c r="G94" s="308"/>
      <c r="H94" s="2385"/>
      <c r="I94" s="2385"/>
      <c r="J94" s="2386"/>
      <c r="K94" s="2387">
        <f t="shared" ref="K94:K103" si="8">C39+G39+K39+C94+G94</f>
        <v>0</v>
      </c>
      <c r="L94" s="2388">
        <f t="shared" ref="L94:L103" si="9">D39+H39+L39+D94+H94</f>
        <v>0</v>
      </c>
      <c r="M94" s="2388">
        <f t="shared" ref="M94:M103" si="10">E39+I39+M39+E94+I94</f>
        <v>0</v>
      </c>
      <c r="N94" s="2389">
        <f t="shared" ref="N94:N103" si="11">F39+J39+N39+F94+J94</f>
        <v>0</v>
      </c>
    </row>
    <row r="95" spans="1:14" ht="12.75">
      <c r="A95" s="2264" t="s">
        <v>847</v>
      </c>
      <c r="B95" s="2369" t="s">
        <v>3355</v>
      </c>
      <c r="C95" s="309"/>
      <c r="D95" s="275"/>
      <c r="E95" s="275"/>
      <c r="F95" s="2375"/>
      <c r="G95" s="309"/>
      <c r="H95" s="275"/>
      <c r="I95" s="275"/>
      <c r="J95" s="2375"/>
      <c r="K95" s="2380">
        <f t="shared" si="8"/>
        <v>0</v>
      </c>
      <c r="L95" s="2308">
        <f t="shared" si="9"/>
        <v>0</v>
      </c>
      <c r="M95" s="2308">
        <f t="shared" si="10"/>
        <v>0</v>
      </c>
      <c r="N95" s="2381">
        <f t="shared" si="11"/>
        <v>0</v>
      </c>
    </row>
    <row r="96" spans="1:14" ht="12.75">
      <c r="A96" s="2253" t="s">
        <v>1323</v>
      </c>
      <c r="B96" s="2372" t="s">
        <v>3355</v>
      </c>
      <c r="C96" s="309"/>
      <c r="D96" s="275"/>
      <c r="E96" s="275"/>
      <c r="F96" s="2375"/>
      <c r="G96" s="309"/>
      <c r="H96" s="275"/>
      <c r="I96" s="275"/>
      <c r="J96" s="2375"/>
      <c r="K96" s="2380">
        <f t="shared" si="8"/>
        <v>0</v>
      </c>
      <c r="L96" s="2308">
        <f t="shared" si="9"/>
        <v>0</v>
      </c>
      <c r="M96" s="2308">
        <f t="shared" si="10"/>
        <v>0</v>
      </c>
      <c r="N96" s="2381">
        <f t="shared" si="11"/>
        <v>0</v>
      </c>
    </row>
    <row r="97" spans="1:14" ht="12.75">
      <c r="A97" s="2255" t="s">
        <v>1324</v>
      </c>
      <c r="B97" s="2371" t="s">
        <v>3355</v>
      </c>
      <c r="C97" s="309"/>
      <c r="D97" s="275"/>
      <c r="E97" s="275"/>
      <c r="F97" s="2375"/>
      <c r="G97" s="309"/>
      <c r="H97" s="275"/>
      <c r="I97" s="275"/>
      <c r="J97" s="2375"/>
      <c r="K97" s="2380">
        <f t="shared" si="8"/>
        <v>0</v>
      </c>
      <c r="L97" s="2308">
        <f t="shared" si="9"/>
        <v>0</v>
      </c>
      <c r="M97" s="2308">
        <f t="shared" si="10"/>
        <v>0</v>
      </c>
      <c r="N97" s="2381">
        <f t="shared" si="11"/>
        <v>0</v>
      </c>
    </row>
    <row r="98" spans="1:14" ht="12.75">
      <c r="A98" s="2261" t="s">
        <v>1325</v>
      </c>
      <c r="B98" s="2370" t="s">
        <v>3355</v>
      </c>
      <c r="C98" s="309"/>
      <c r="D98" s="275"/>
      <c r="E98" s="275"/>
      <c r="F98" s="2375"/>
      <c r="G98" s="309"/>
      <c r="H98" s="275"/>
      <c r="I98" s="275"/>
      <c r="J98" s="2375"/>
      <c r="K98" s="2380">
        <f t="shared" si="8"/>
        <v>0</v>
      </c>
      <c r="L98" s="2308">
        <f t="shared" si="9"/>
        <v>0</v>
      </c>
      <c r="M98" s="2308">
        <f t="shared" si="10"/>
        <v>0</v>
      </c>
      <c r="N98" s="2381">
        <f t="shared" si="11"/>
        <v>0</v>
      </c>
    </row>
    <row r="99" spans="1:14" ht="12.75">
      <c r="A99" s="2261" t="s">
        <v>3384</v>
      </c>
      <c r="B99" s="2370" t="s">
        <v>3355</v>
      </c>
      <c r="C99" s="309"/>
      <c r="D99" s="275"/>
      <c r="E99" s="275"/>
      <c r="F99" s="2375"/>
      <c r="G99" s="309"/>
      <c r="H99" s="275"/>
      <c r="I99" s="275"/>
      <c r="J99" s="2375"/>
      <c r="K99" s="2380">
        <f t="shared" si="8"/>
        <v>0</v>
      </c>
      <c r="L99" s="2308">
        <f t="shared" si="9"/>
        <v>0</v>
      </c>
      <c r="M99" s="2308">
        <f t="shared" si="10"/>
        <v>0</v>
      </c>
      <c r="N99" s="2381">
        <f t="shared" si="11"/>
        <v>0</v>
      </c>
    </row>
    <row r="100" spans="1:14" ht="12.75">
      <c r="A100" s="2253" t="s">
        <v>2013</v>
      </c>
      <c r="B100" s="2372" t="s">
        <v>3355</v>
      </c>
      <c r="C100" s="309"/>
      <c r="D100" s="275"/>
      <c r="E100" s="275"/>
      <c r="F100" s="2375"/>
      <c r="G100" s="309"/>
      <c r="H100" s="275"/>
      <c r="I100" s="275"/>
      <c r="J100" s="2375"/>
      <c r="K100" s="2380">
        <f t="shared" si="8"/>
        <v>0</v>
      </c>
      <c r="L100" s="2308">
        <f t="shared" si="9"/>
        <v>0</v>
      </c>
      <c r="M100" s="2308">
        <f t="shared" si="10"/>
        <v>0</v>
      </c>
      <c r="N100" s="2381">
        <f t="shared" si="11"/>
        <v>0</v>
      </c>
    </row>
    <row r="101" spans="1:14" ht="12.75">
      <c r="A101" s="2255" t="s">
        <v>2014</v>
      </c>
      <c r="B101" s="2371" t="s">
        <v>3355</v>
      </c>
      <c r="C101" s="309"/>
      <c r="D101" s="275"/>
      <c r="E101" s="275"/>
      <c r="F101" s="2375"/>
      <c r="G101" s="309"/>
      <c r="H101" s="275"/>
      <c r="I101" s="275"/>
      <c r="J101" s="2375"/>
      <c r="K101" s="2380">
        <f t="shared" si="8"/>
        <v>0</v>
      </c>
      <c r="L101" s="2308">
        <f t="shared" si="9"/>
        <v>0</v>
      </c>
      <c r="M101" s="2308">
        <f t="shared" si="10"/>
        <v>0</v>
      </c>
      <c r="N101" s="2381">
        <f t="shared" si="11"/>
        <v>0</v>
      </c>
    </row>
    <row r="102" spans="1:14" ht="12.75">
      <c r="A102" s="2261" t="s">
        <v>2015</v>
      </c>
      <c r="B102" s="2370" t="s">
        <v>3355</v>
      </c>
      <c r="C102" s="309"/>
      <c r="D102" s="275"/>
      <c r="E102" s="275"/>
      <c r="F102" s="2375"/>
      <c r="G102" s="309"/>
      <c r="H102" s="275"/>
      <c r="I102" s="275"/>
      <c r="J102" s="2375"/>
      <c r="K102" s="2380">
        <f t="shared" si="8"/>
        <v>0</v>
      </c>
      <c r="L102" s="2308">
        <f t="shared" si="9"/>
        <v>0</v>
      </c>
      <c r="M102" s="2308">
        <f t="shared" si="10"/>
        <v>0</v>
      </c>
      <c r="N102" s="2381">
        <f t="shared" si="11"/>
        <v>0</v>
      </c>
    </row>
    <row r="103" spans="1:14" ht="13.5" thickBot="1">
      <c r="A103" s="2261" t="s">
        <v>3385</v>
      </c>
      <c r="B103" s="2370" t="s">
        <v>3355</v>
      </c>
      <c r="C103" s="310"/>
      <c r="D103" s="2376"/>
      <c r="E103" s="2376"/>
      <c r="F103" s="2377"/>
      <c r="G103" s="310"/>
      <c r="H103" s="2376"/>
      <c r="I103" s="2376"/>
      <c r="J103" s="2377"/>
      <c r="K103" s="2382">
        <f t="shared" si="8"/>
        <v>0</v>
      </c>
      <c r="L103" s="2383">
        <f t="shared" si="9"/>
        <v>0</v>
      </c>
      <c r="M103" s="2383">
        <f t="shared" si="10"/>
        <v>0</v>
      </c>
      <c r="N103" s="2384">
        <f t="shared" si="11"/>
        <v>0</v>
      </c>
    </row>
  </sheetData>
  <mergeCells count="8">
    <mergeCell ref="A93:N93"/>
    <mergeCell ref="K3:N3"/>
    <mergeCell ref="C3:F3"/>
    <mergeCell ref="G3:J3"/>
    <mergeCell ref="C58:F58"/>
    <mergeCell ref="G58:J58"/>
    <mergeCell ref="K58:N58"/>
    <mergeCell ref="A38:N38"/>
  </mergeCells>
  <phoneticPr fontId="0" type="noConversion"/>
  <pageMargins left="0.15748031496062992" right="0.15748031496062992" top="7.874015748031496E-2" bottom="0" header="0.51181102362204722" footer="0.19685039370078741"/>
  <pageSetup paperSize="9" scale="86" fitToHeight="0"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Лист9">
    <pageSetUpPr fitToPage="1"/>
  </sheetPr>
  <dimension ref="A1:X33"/>
  <sheetViews>
    <sheetView workbookViewId="0">
      <pane xSplit="10" ySplit="15" topLeftCell="P19" activePane="bottomRight" state="frozen"/>
      <selection pane="topRight" activeCell="K1" sqref="K1"/>
      <selection pane="bottomLeft" activeCell="A16" sqref="A16"/>
      <selection pane="bottomRight" activeCell="F5" sqref="F5"/>
    </sheetView>
  </sheetViews>
  <sheetFormatPr defaultRowHeight="11.25"/>
  <cols>
    <col min="3" max="3" width="15" bestFit="1" customWidth="1"/>
    <col min="4" max="4" width="13.83203125" customWidth="1"/>
    <col min="5" max="5" width="13.83203125" bestFit="1" customWidth="1"/>
    <col min="6" max="7" width="13.83203125" customWidth="1"/>
    <col min="8" max="8" width="11.83203125" customWidth="1"/>
    <col min="9" max="9" width="15.6640625" customWidth="1"/>
    <col min="10" max="10" width="13.83203125" customWidth="1"/>
    <col min="11" max="11" width="16.1640625" customWidth="1"/>
    <col min="12" max="12" width="15" customWidth="1"/>
    <col min="13" max="16" width="13.83203125" customWidth="1"/>
    <col min="17" max="17" width="14.1640625" customWidth="1"/>
    <col min="18" max="18" width="5.33203125" customWidth="1"/>
    <col min="19" max="19" width="13.83203125" customWidth="1"/>
    <col min="20" max="20" width="11.83203125" customWidth="1"/>
    <col min="21" max="21" width="12.6640625" customWidth="1"/>
    <col min="22" max="22" width="5.33203125" customWidth="1"/>
    <col min="23" max="23" width="16.1640625" bestFit="1" customWidth="1"/>
    <col min="24" max="24" width="15" customWidth="1"/>
  </cols>
  <sheetData>
    <row r="1" spans="1:24">
      <c r="D1" s="2604"/>
      <c r="E1" s="392"/>
      <c r="F1" s="2606">
        <f>SUM(F5:F7)</f>
        <v>3172144.12</v>
      </c>
      <c r="G1" s="392"/>
      <c r="H1" s="2602"/>
      <c r="I1" s="392"/>
      <c r="J1" s="2602" t="s">
        <v>771</v>
      </c>
      <c r="K1" s="392"/>
      <c r="L1" s="1981"/>
      <c r="M1" s="392"/>
      <c r="N1" s="2603"/>
      <c r="O1" s="392"/>
      <c r="P1" s="2602"/>
      <c r="Q1" s="392"/>
      <c r="R1" s="392"/>
      <c r="S1" s="392"/>
      <c r="T1" s="1984"/>
      <c r="U1" s="392"/>
      <c r="V1" s="1922"/>
      <c r="W1" s="392"/>
      <c r="X1" s="392"/>
    </row>
    <row r="2" spans="1:24" ht="14.25">
      <c r="C2" s="2715" t="s">
        <v>675</v>
      </c>
      <c r="D2" s="2716"/>
      <c r="E2" s="2715" t="s">
        <v>676</v>
      </c>
      <c r="F2" s="2716"/>
      <c r="G2" s="2715" t="s">
        <v>677</v>
      </c>
      <c r="H2" s="2716"/>
      <c r="I2" s="2715" t="s">
        <v>2017</v>
      </c>
      <c r="J2" s="2716"/>
      <c r="K2" s="2715" t="s">
        <v>678</v>
      </c>
      <c r="L2" s="2716"/>
      <c r="M2" s="2715" t="s">
        <v>679</v>
      </c>
      <c r="N2" s="2716"/>
      <c r="O2" s="2717" t="s">
        <v>680</v>
      </c>
      <c r="P2" s="2718"/>
      <c r="Q2" s="2715"/>
      <c r="R2" s="2716"/>
      <c r="S2" s="2715" t="s">
        <v>2127</v>
      </c>
      <c r="T2" s="2716"/>
      <c r="U2" s="2715" t="s">
        <v>1630</v>
      </c>
      <c r="V2" s="2716"/>
      <c r="W2" s="2715" t="s">
        <v>66</v>
      </c>
      <c r="X2" s="2716"/>
    </row>
    <row r="3" spans="1:24" ht="14.25">
      <c r="C3" s="928" t="s">
        <v>36</v>
      </c>
      <c r="D3" s="929" t="s">
        <v>1486</v>
      </c>
      <c r="E3" s="930" t="s">
        <v>36</v>
      </c>
      <c r="F3" s="930" t="s">
        <v>2109</v>
      </c>
      <c r="G3" s="930" t="s">
        <v>36</v>
      </c>
      <c r="H3" s="930" t="s">
        <v>2109</v>
      </c>
      <c r="I3" s="930" t="s">
        <v>36</v>
      </c>
      <c r="J3" s="930" t="s">
        <v>682</v>
      </c>
      <c r="K3" s="930"/>
      <c r="L3" s="930" t="s">
        <v>682</v>
      </c>
      <c r="M3" s="930" t="s">
        <v>36</v>
      </c>
      <c r="N3" s="930" t="s">
        <v>682</v>
      </c>
      <c r="O3" s="930" t="s">
        <v>36</v>
      </c>
      <c r="P3" s="930" t="s">
        <v>682</v>
      </c>
      <c r="Q3" s="930" t="s">
        <v>683</v>
      </c>
      <c r="R3" s="930" t="s">
        <v>682</v>
      </c>
      <c r="S3" s="930" t="s">
        <v>683</v>
      </c>
      <c r="T3" s="930" t="s">
        <v>682</v>
      </c>
      <c r="U3" s="930" t="s">
        <v>683</v>
      </c>
      <c r="V3" s="930" t="s">
        <v>682</v>
      </c>
      <c r="W3" s="930" t="s">
        <v>683</v>
      </c>
      <c r="X3" s="930" t="s">
        <v>1016</v>
      </c>
    </row>
    <row r="4" spans="1:24" ht="12.75">
      <c r="A4" s="2253" t="s">
        <v>661</v>
      </c>
      <c r="B4" s="2254" t="s">
        <v>3355</v>
      </c>
      <c r="C4" s="2244">
        <v>19911710.760000002</v>
      </c>
      <c r="D4" s="2244">
        <v>7764609.6500000004</v>
      </c>
      <c r="E4" s="2244">
        <v>8058502</v>
      </c>
      <c r="F4" s="2244">
        <v>3494835.35</v>
      </c>
      <c r="G4" s="2244">
        <v>2124200</v>
      </c>
      <c r="H4" s="2244">
        <v>798033.54</v>
      </c>
      <c r="I4" s="2244"/>
      <c r="J4" s="2244"/>
      <c r="K4" s="2244"/>
      <c r="L4" s="2244"/>
      <c r="M4" s="2244"/>
      <c r="N4" s="2244"/>
      <c r="O4" s="2244"/>
      <c r="P4" s="2244"/>
      <c r="Q4" s="2244"/>
      <c r="R4" s="2244"/>
      <c r="S4" s="2244">
        <v>936400</v>
      </c>
      <c r="T4" s="2244">
        <v>522664.32</v>
      </c>
      <c r="U4" s="2244">
        <v>74900</v>
      </c>
      <c r="V4" s="2244"/>
      <c r="W4" s="2244">
        <f>C4+E4+G4+I4+K4+M4+O4+Q4+S4+U4</f>
        <v>31105712.760000002</v>
      </c>
      <c r="X4" s="2244">
        <f t="shared" ref="X4:X33" si="0">D4+F4+H4+J4+L4+N4+P4+R4+T4+V4</f>
        <v>12580142.859999999</v>
      </c>
    </row>
    <row r="5" spans="1:24" ht="12.75">
      <c r="A5" s="2255" t="s">
        <v>1909</v>
      </c>
      <c r="B5" s="2255" t="s">
        <v>3356</v>
      </c>
      <c r="C5" s="2246">
        <v>11320383.220000001</v>
      </c>
      <c r="D5" s="2246">
        <v>5391990.29</v>
      </c>
      <c r="E5" s="2246">
        <v>3920002</v>
      </c>
      <c r="F5" s="2246">
        <v>2372834.02</v>
      </c>
      <c r="G5" s="2246">
        <v>1173140</v>
      </c>
      <c r="H5" s="2246">
        <v>547635.52</v>
      </c>
      <c r="I5" s="2246"/>
      <c r="J5" s="2246"/>
      <c r="K5" s="2246"/>
      <c r="L5" s="2246"/>
      <c r="M5" s="2246"/>
      <c r="N5" s="2246"/>
      <c r="O5" s="2246"/>
      <c r="P5" s="2246"/>
      <c r="Q5" s="2246">
        <v>10100</v>
      </c>
      <c r="R5" s="2246"/>
      <c r="S5" s="2246">
        <v>548788</v>
      </c>
      <c r="T5" s="2246">
        <v>375015.54</v>
      </c>
      <c r="U5" s="2246"/>
      <c r="V5" s="2246"/>
      <c r="W5" s="2245">
        <f t="shared" ref="W5:W33" si="1">C5+E5+G5+I5+K5+M5+O5+Q5+S5+U5</f>
        <v>16972413.219999999</v>
      </c>
      <c r="X5" s="2245">
        <f t="shared" si="0"/>
        <v>8687475.3699999992</v>
      </c>
    </row>
    <row r="6" spans="1:24" ht="12.75">
      <c r="A6" s="2256" t="s">
        <v>1910</v>
      </c>
      <c r="B6" s="2256" t="s">
        <v>3355</v>
      </c>
      <c r="C6" s="2246">
        <v>206400</v>
      </c>
      <c r="D6" s="2246">
        <v>71245</v>
      </c>
      <c r="E6" s="2246">
        <v>195300</v>
      </c>
      <c r="F6" s="2246">
        <v>129709.5</v>
      </c>
      <c r="G6" s="2246">
        <v>32660</v>
      </c>
      <c r="H6" s="2246"/>
      <c r="I6" s="2246"/>
      <c r="J6" s="2246"/>
      <c r="K6" s="2246"/>
      <c r="L6" s="2246"/>
      <c r="M6" s="2246"/>
      <c r="N6" s="2246"/>
      <c r="O6" s="2246"/>
      <c r="P6" s="2246"/>
      <c r="Q6" s="2246"/>
      <c r="R6" s="2246"/>
      <c r="S6" s="2246">
        <v>68500</v>
      </c>
      <c r="T6" s="2246"/>
      <c r="U6" s="2246"/>
      <c r="V6" s="2246"/>
      <c r="W6" s="2245">
        <f t="shared" si="1"/>
        <v>502860</v>
      </c>
      <c r="X6" s="2245">
        <f t="shared" si="0"/>
        <v>200954.5</v>
      </c>
    </row>
    <row r="7" spans="1:24" ht="12.75">
      <c r="A7" s="2256" t="s">
        <v>1911</v>
      </c>
      <c r="B7" s="2256" t="s">
        <v>3357</v>
      </c>
      <c r="C7" s="2246">
        <v>3290214.52</v>
      </c>
      <c r="D7" s="2246">
        <v>1551161.88</v>
      </c>
      <c r="E7" s="2246">
        <v>1102800</v>
      </c>
      <c r="F7" s="2246">
        <v>669600.6</v>
      </c>
      <c r="G7" s="2246">
        <v>236200</v>
      </c>
      <c r="H7" s="2246">
        <v>165386.54</v>
      </c>
      <c r="I7" s="2246"/>
      <c r="J7" s="2246"/>
      <c r="K7" s="2246"/>
      <c r="L7" s="2246"/>
      <c r="M7" s="2246"/>
      <c r="N7" s="2246"/>
      <c r="O7" s="2246"/>
      <c r="P7" s="2246"/>
      <c r="Q7" s="2246">
        <v>-0.09</v>
      </c>
      <c r="R7" s="2246"/>
      <c r="S7" s="2246">
        <v>165733</v>
      </c>
      <c r="T7" s="2246">
        <v>109651.98</v>
      </c>
      <c r="U7" s="2246"/>
      <c r="V7" s="2246"/>
      <c r="W7" s="2245">
        <f t="shared" si="1"/>
        <v>4794947.43</v>
      </c>
      <c r="X7" s="2245">
        <f t="shared" si="0"/>
        <v>2495801</v>
      </c>
    </row>
    <row r="8" spans="1:24" ht="12.75">
      <c r="A8" s="2257" t="s">
        <v>1913</v>
      </c>
      <c r="B8" s="2257" t="s">
        <v>3355</v>
      </c>
      <c r="C8" s="2249"/>
      <c r="D8" s="2249"/>
      <c r="E8" s="2249"/>
      <c r="F8" s="2249"/>
      <c r="G8" s="2249"/>
      <c r="H8" s="2249"/>
      <c r="I8" s="2249"/>
      <c r="J8" s="2249"/>
      <c r="K8" s="2249"/>
      <c r="L8" s="2249"/>
      <c r="M8" s="2249"/>
      <c r="N8" s="2249"/>
      <c r="O8" s="2249"/>
      <c r="P8" s="2249"/>
      <c r="Q8" s="2249"/>
      <c r="R8" s="2249"/>
      <c r="S8" s="2249"/>
      <c r="T8" s="2249"/>
      <c r="U8" s="2249"/>
      <c r="V8" s="2249"/>
      <c r="W8" s="2244">
        <f t="shared" si="1"/>
        <v>0</v>
      </c>
      <c r="X8" s="2244">
        <f t="shared" si="0"/>
        <v>0</v>
      </c>
    </row>
    <row r="9" spans="1:24" ht="12.75">
      <c r="A9" s="2258" t="s">
        <v>1914</v>
      </c>
      <c r="B9" s="2255" t="s">
        <v>3356</v>
      </c>
      <c r="C9" s="2246"/>
      <c r="D9" s="2246"/>
      <c r="E9" s="2246"/>
      <c r="F9" s="2246"/>
      <c r="G9" s="2246"/>
      <c r="H9" s="2246"/>
      <c r="I9" s="2246"/>
      <c r="J9" s="2246"/>
      <c r="K9" s="2246"/>
      <c r="L9" s="2246"/>
      <c r="M9" s="2246"/>
      <c r="N9" s="2246"/>
      <c r="O9" s="2246"/>
      <c r="P9" s="2246"/>
      <c r="Q9" s="2246"/>
      <c r="R9" s="2246"/>
      <c r="S9" s="2246"/>
      <c r="T9" s="2246"/>
      <c r="U9" s="2246"/>
      <c r="V9" s="2246"/>
      <c r="W9" s="2245">
        <f t="shared" si="1"/>
        <v>0</v>
      </c>
      <c r="X9" s="2245">
        <f t="shared" si="0"/>
        <v>0</v>
      </c>
    </row>
    <row r="10" spans="1:24" ht="12.75">
      <c r="A10" s="2259" t="s">
        <v>1915</v>
      </c>
      <c r="B10" s="2256" t="s">
        <v>3355</v>
      </c>
      <c r="C10" s="2246"/>
      <c r="D10" s="2246"/>
      <c r="E10" s="2246"/>
      <c r="F10" s="2246"/>
      <c r="G10" s="2246"/>
      <c r="H10" s="2246"/>
      <c r="I10" s="2246"/>
      <c r="J10" s="2246"/>
      <c r="K10" s="2246"/>
      <c r="L10" s="2246"/>
      <c r="M10" s="2246"/>
      <c r="N10" s="2246"/>
      <c r="O10" s="2246"/>
      <c r="P10" s="2246"/>
      <c r="Q10" s="2246"/>
      <c r="R10" s="2246"/>
      <c r="S10" s="2246"/>
      <c r="T10" s="2246"/>
      <c r="U10" s="2246"/>
      <c r="V10" s="2246"/>
      <c r="W10" s="2245">
        <f t="shared" si="1"/>
        <v>0</v>
      </c>
      <c r="X10" s="2245">
        <f t="shared" si="0"/>
        <v>0</v>
      </c>
    </row>
    <row r="11" spans="1:24" ht="12.75">
      <c r="A11" s="2256" t="s">
        <v>1916</v>
      </c>
      <c r="B11" s="2256" t="s">
        <v>3357</v>
      </c>
      <c r="C11" s="2246"/>
      <c r="D11" s="2260"/>
      <c r="E11" s="2246"/>
      <c r="F11" s="2246"/>
      <c r="G11" s="2246"/>
      <c r="H11" s="2246"/>
      <c r="I11" s="2246"/>
      <c r="J11" s="2246"/>
      <c r="K11" s="2246"/>
      <c r="L11" s="2246"/>
      <c r="M11" s="2246"/>
      <c r="N11" s="2246"/>
      <c r="O11" s="2246"/>
      <c r="P11" s="2246"/>
      <c r="Q11" s="2246"/>
      <c r="R11" s="2246"/>
      <c r="S11" s="2246"/>
      <c r="T11" s="2246"/>
      <c r="U11" s="2246"/>
      <c r="V11" s="2246"/>
      <c r="W11" s="2245">
        <f t="shared" si="1"/>
        <v>0</v>
      </c>
      <c r="X11" s="2245">
        <f t="shared" si="0"/>
        <v>0</v>
      </c>
    </row>
    <row r="12" spans="1:24" ht="12.75">
      <c r="A12" s="2257" t="s">
        <v>1695</v>
      </c>
      <c r="B12" s="2257" t="s">
        <v>3355</v>
      </c>
      <c r="C12" s="2244"/>
      <c r="D12" s="2244"/>
      <c r="E12" s="2244"/>
      <c r="F12" s="2244"/>
      <c r="G12" s="2244"/>
      <c r="H12" s="2244"/>
      <c r="I12" s="2244"/>
      <c r="J12" s="2244"/>
      <c r="K12" s="2244"/>
      <c r="L12" s="2244"/>
      <c r="M12" s="2244"/>
      <c r="N12" s="2244"/>
      <c r="O12" s="2244"/>
      <c r="P12" s="2244"/>
      <c r="Q12" s="2244"/>
      <c r="R12" s="2244"/>
      <c r="S12" s="2244">
        <f t="shared" ref="S12:T15" si="2">S4</f>
        <v>936400</v>
      </c>
      <c r="T12" s="2244">
        <f t="shared" si="2"/>
        <v>522664.32</v>
      </c>
      <c r="U12" s="2244"/>
      <c r="V12" s="2244"/>
      <c r="W12" s="2244">
        <f t="shared" si="1"/>
        <v>936400</v>
      </c>
      <c r="X12" s="2244">
        <f t="shared" si="0"/>
        <v>522664.32</v>
      </c>
    </row>
    <row r="13" spans="1:24" ht="12.75">
      <c r="A13" s="2255" t="s">
        <v>1696</v>
      </c>
      <c r="B13" s="2255" t="s">
        <v>3356</v>
      </c>
      <c r="C13" s="2246"/>
      <c r="D13" s="2246"/>
      <c r="E13" s="2246"/>
      <c r="F13" s="2246"/>
      <c r="G13" s="2246"/>
      <c r="H13" s="2246"/>
      <c r="I13" s="2246"/>
      <c r="J13" s="2246"/>
      <c r="K13" s="2246"/>
      <c r="L13" s="2246"/>
      <c r="M13" s="2246"/>
      <c r="N13" s="2246"/>
      <c r="O13" s="2246"/>
      <c r="P13" s="2246"/>
      <c r="Q13" s="2246"/>
      <c r="R13" s="2246"/>
      <c r="S13" s="2246">
        <f t="shared" si="2"/>
        <v>548788</v>
      </c>
      <c r="T13" s="2246">
        <f t="shared" si="2"/>
        <v>375015.54</v>
      </c>
      <c r="U13" s="2246"/>
      <c r="V13" s="2246"/>
      <c r="W13" s="2245">
        <f t="shared" si="1"/>
        <v>548788</v>
      </c>
      <c r="X13" s="2245">
        <f t="shared" si="0"/>
        <v>375015.54</v>
      </c>
    </row>
    <row r="14" spans="1:24" ht="12.75">
      <c r="A14" s="2261" t="s">
        <v>1697</v>
      </c>
      <c r="B14" s="2261" t="s">
        <v>3355</v>
      </c>
      <c r="C14" s="2246"/>
      <c r="D14" s="2246"/>
      <c r="E14" s="2246"/>
      <c r="F14" s="2246"/>
      <c r="G14" s="2246"/>
      <c r="H14" s="2246"/>
      <c r="I14" s="2246"/>
      <c r="J14" s="2246"/>
      <c r="K14" s="2246"/>
      <c r="L14" s="2246"/>
      <c r="M14" s="2246"/>
      <c r="N14" s="2246"/>
      <c r="O14" s="2246"/>
      <c r="P14" s="2246"/>
      <c r="Q14" s="2246"/>
      <c r="R14" s="2246"/>
      <c r="S14" s="2246">
        <f t="shared" si="2"/>
        <v>68500</v>
      </c>
      <c r="T14" s="2246">
        <f t="shared" si="2"/>
        <v>0</v>
      </c>
      <c r="U14" s="2246"/>
      <c r="V14" s="2246"/>
      <c r="W14" s="2245">
        <f t="shared" si="1"/>
        <v>68500</v>
      </c>
      <c r="X14" s="2245">
        <f t="shared" si="0"/>
        <v>0</v>
      </c>
    </row>
    <row r="15" spans="1:24" ht="12.75">
      <c r="A15" s="2256" t="s">
        <v>1698</v>
      </c>
      <c r="B15" s="2256" t="s">
        <v>3357</v>
      </c>
      <c r="C15" s="2246"/>
      <c r="D15" s="2246"/>
      <c r="E15" s="2246"/>
      <c r="F15" s="2246"/>
      <c r="G15" s="2246"/>
      <c r="H15" s="2246"/>
      <c r="I15" s="2246"/>
      <c r="J15" s="2246"/>
      <c r="K15" s="2246"/>
      <c r="L15" s="2246"/>
      <c r="M15" s="2246"/>
      <c r="N15" s="2246"/>
      <c r="O15" s="2246"/>
      <c r="P15" s="2246"/>
      <c r="Q15" s="2246"/>
      <c r="R15" s="2246"/>
      <c r="S15" s="2246">
        <f t="shared" si="2"/>
        <v>165733</v>
      </c>
      <c r="T15" s="2246">
        <f t="shared" si="2"/>
        <v>109651.98</v>
      </c>
      <c r="U15" s="2246"/>
      <c r="V15" s="2246"/>
      <c r="W15" s="2245">
        <f t="shared" si="1"/>
        <v>165733</v>
      </c>
      <c r="X15" s="2245">
        <f t="shared" si="0"/>
        <v>109651.98</v>
      </c>
    </row>
    <row r="16" spans="1:24" ht="12.75">
      <c r="A16" s="2257" t="s">
        <v>333</v>
      </c>
      <c r="B16" s="2257" t="s">
        <v>3355</v>
      </c>
      <c r="C16" s="2249">
        <v>5532200</v>
      </c>
      <c r="D16" s="2249">
        <v>1149233.56</v>
      </c>
      <c r="E16" s="2249"/>
      <c r="F16" s="2249"/>
      <c r="G16" s="2249"/>
      <c r="H16" s="2249"/>
      <c r="I16" s="2249"/>
      <c r="J16" s="2249"/>
      <c r="K16" s="2249"/>
      <c r="L16" s="2249"/>
      <c r="M16" s="2249"/>
      <c r="N16" s="2249"/>
      <c r="O16" s="2249"/>
      <c r="P16" s="2249"/>
      <c r="Q16" s="2249"/>
      <c r="R16" s="2249"/>
      <c r="S16" s="2249"/>
      <c r="T16" s="2249"/>
      <c r="U16" s="2249"/>
      <c r="V16" s="2249"/>
      <c r="W16" s="2244">
        <f t="shared" si="1"/>
        <v>5532200</v>
      </c>
      <c r="X16" s="2244">
        <f t="shared" si="0"/>
        <v>1149233.56</v>
      </c>
    </row>
    <row r="17" spans="1:24" ht="12.75">
      <c r="A17" s="2255" t="s">
        <v>334</v>
      </c>
      <c r="B17" s="2262">
        <v>121</v>
      </c>
      <c r="C17" s="2246">
        <v>3729257.22</v>
      </c>
      <c r="D17" s="2246">
        <v>801055.76</v>
      </c>
      <c r="E17" s="2246"/>
      <c r="F17" s="2246"/>
      <c r="G17" s="2246"/>
      <c r="H17" s="2246"/>
      <c r="I17" s="2246"/>
      <c r="J17" s="2246"/>
      <c r="K17" s="2246"/>
      <c r="L17" s="2246"/>
      <c r="M17" s="2246"/>
      <c r="N17" s="2246"/>
      <c r="O17" s="2246"/>
      <c r="P17" s="2246"/>
      <c r="Q17" s="2246"/>
      <c r="R17" s="2246"/>
      <c r="S17" s="2246"/>
      <c r="T17" s="2246"/>
      <c r="U17" s="2246"/>
      <c r="V17" s="2246"/>
      <c r="W17" s="2245">
        <f t="shared" si="1"/>
        <v>3729257.22</v>
      </c>
      <c r="X17" s="2245">
        <f t="shared" si="0"/>
        <v>801055.76</v>
      </c>
    </row>
    <row r="18" spans="1:24" ht="12.75">
      <c r="A18" s="2261" t="s">
        <v>335</v>
      </c>
      <c r="B18" s="2261" t="s">
        <v>3355</v>
      </c>
      <c r="C18" s="2245">
        <v>6400</v>
      </c>
      <c r="D18" s="2247"/>
      <c r="E18" s="2247"/>
      <c r="F18" s="2246"/>
      <c r="G18" s="2246"/>
      <c r="H18" s="2247"/>
      <c r="I18" s="2247"/>
      <c r="J18" s="2246"/>
      <c r="K18" s="2246"/>
      <c r="L18" s="2247"/>
      <c r="M18" s="2247"/>
      <c r="N18" s="2246"/>
      <c r="O18" s="2246"/>
      <c r="P18" s="2247"/>
      <c r="Q18" s="2247"/>
      <c r="R18" s="2246"/>
      <c r="S18" s="2247"/>
      <c r="T18" s="2246"/>
      <c r="U18" s="2246"/>
      <c r="V18" s="2248"/>
      <c r="W18" s="2245">
        <f t="shared" si="1"/>
        <v>6400</v>
      </c>
      <c r="X18" s="2245">
        <f t="shared" si="0"/>
        <v>0</v>
      </c>
    </row>
    <row r="19" spans="1:24" ht="12.75">
      <c r="A19" s="2261" t="s">
        <v>336</v>
      </c>
      <c r="B19" s="2261" t="s">
        <v>3357</v>
      </c>
      <c r="C19" s="2251">
        <v>1126235.76</v>
      </c>
      <c r="D19" s="2252">
        <v>242382.49</v>
      </c>
      <c r="E19" s="2252"/>
      <c r="F19" s="2251"/>
      <c r="G19" s="2251"/>
      <c r="H19" s="2252"/>
      <c r="I19" s="2252"/>
      <c r="J19" s="2251"/>
      <c r="K19" s="2251"/>
      <c r="L19" s="2252"/>
      <c r="M19" s="2252"/>
      <c r="N19" s="2251"/>
      <c r="O19" s="2251"/>
      <c r="P19" s="2252"/>
      <c r="Q19" s="2252"/>
      <c r="R19" s="2251"/>
      <c r="S19" s="2252"/>
      <c r="T19" s="2251"/>
      <c r="U19" s="2251"/>
      <c r="V19" s="2252"/>
      <c r="W19" s="2245">
        <f t="shared" si="1"/>
        <v>1126235.76</v>
      </c>
      <c r="X19" s="2245">
        <f t="shared" si="0"/>
        <v>242382.49</v>
      </c>
    </row>
    <row r="20" spans="1:24" ht="12.75">
      <c r="A20" s="2253" t="s">
        <v>2213</v>
      </c>
      <c r="B20" s="2254" t="s">
        <v>3355</v>
      </c>
      <c r="C20" s="2249"/>
      <c r="D20" s="2250"/>
      <c r="E20" s="2250"/>
      <c r="F20" s="2249">
        <v>26675</v>
      </c>
      <c r="G20" s="2249"/>
      <c r="H20" s="2250">
        <v>5001</v>
      </c>
      <c r="I20" s="2250"/>
      <c r="J20" s="2249">
        <v>294568.15999999997</v>
      </c>
      <c r="K20" s="2249"/>
      <c r="L20" s="2250">
        <v>16005674.41</v>
      </c>
      <c r="M20" s="2250"/>
      <c r="N20" s="2249">
        <v>118457.54</v>
      </c>
      <c r="O20" s="2249"/>
      <c r="P20" s="2250">
        <v>1906334.54</v>
      </c>
      <c r="Q20" s="2250"/>
      <c r="R20" s="2249"/>
      <c r="S20" s="2250"/>
      <c r="T20" s="2249"/>
      <c r="U20" s="2249"/>
      <c r="V20" s="2250"/>
      <c r="W20" s="2244">
        <f t="shared" si="1"/>
        <v>0</v>
      </c>
      <c r="X20" s="2244">
        <f t="shared" si="0"/>
        <v>18356710.649999999</v>
      </c>
    </row>
    <row r="21" spans="1:24" ht="12.75">
      <c r="A21" s="2255" t="s">
        <v>2214</v>
      </c>
      <c r="B21" s="2258" t="s">
        <v>53</v>
      </c>
      <c r="C21" s="2251"/>
      <c r="D21" s="2252"/>
      <c r="E21" s="2252"/>
      <c r="F21" s="2251"/>
      <c r="G21" s="2251"/>
      <c r="H21" s="2252"/>
      <c r="I21" s="2252"/>
      <c r="J21" s="2251"/>
      <c r="K21" s="2251"/>
      <c r="L21" s="2252"/>
      <c r="M21" s="2252"/>
      <c r="N21" s="2251"/>
      <c r="O21" s="2251"/>
      <c r="P21" s="2252"/>
      <c r="Q21" s="2252"/>
      <c r="R21" s="2251"/>
      <c r="S21" s="2252"/>
      <c r="T21" s="2251"/>
      <c r="U21" s="2251"/>
      <c r="V21" s="2252"/>
      <c r="W21" s="2245">
        <f t="shared" si="1"/>
        <v>0</v>
      </c>
      <c r="X21" s="2245">
        <f t="shared" si="0"/>
        <v>0</v>
      </c>
    </row>
    <row r="22" spans="1:24" ht="12.75">
      <c r="A22" s="2261" t="s">
        <v>2215</v>
      </c>
      <c r="B22" s="2263" t="s">
        <v>55</v>
      </c>
      <c r="C22" s="2251"/>
      <c r="D22" s="2251"/>
      <c r="E22" s="2251"/>
      <c r="F22" s="2251"/>
      <c r="G22" s="2251"/>
      <c r="H22" s="2251"/>
      <c r="I22" s="2251"/>
      <c r="J22" s="2251"/>
      <c r="K22" s="2251"/>
      <c r="L22" s="2251"/>
      <c r="M22" s="2251"/>
      <c r="N22" s="2251"/>
      <c r="O22" s="2251"/>
      <c r="P22" s="2251"/>
      <c r="Q22" s="2251"/>
      <c r="R22" s="2251"/>
      <c r="S22" s="2251"/>
      <c r="T22" s="2251"/>
      <c r="U22" s="2251"/>
      <c r="V22" s="2251"/>
      <c r="W22" s="2245">
        <f t="shared" si="1"/>
        <v>0</v>
      </c>
      <c r="X22" s="2245">
        <f t="shared" si="0"/>
        <v>0</v>
      </c>
    </row>
    <row r="23" spans="1:24" ht="12.75">
      <c r="A23" s="2261" t="s">
        <v>2216</v>
      </c>
      <c r="B23" s="2263" t="s">
        <v>56</v>
      </c>
      <c r="C23" s="2251"/>
      <c r="D23" s="2252"/>
      <c r="E23" s="2251"/>
      <c r="F23" s="2251">
        <v>26675</v>
      </c>
      <c r="G23" s="2251"/>
      <c r="H23" s="2251"/>
      <c r="I23" s="2251"/>
      <c r="J23" s="2251">
        <v>39388.86</v>
      </c>
      <c r="K23" s="2251"/>
      <c r="L23" s="2251">
        <v>8978354.0099999998</v>
      </c>
      <c r="M23" s="2251"/>
      <c r="N23" s="2251">
        <v>58549.65</v>
      </c>
      <c r="O23" s="2251"/>
      <c r="P23" s="2251">
        <v>672632.64</v>
      </c>
      <c r="Q23" s="2251"/>
      <c r="R23" s="2251"/>
      <c r="S23" s="2251"/>
      <c r="T23" s="2251"/>
      <c r="U23" s="2251"/>
      <c r="V23" s="2251"/>
      <c r="W23" s="2245">
        <f t="shared" si="1"/>
        <v>0</v>
      </c>
      <c r="X23" s="2245">
        <f t="shared" si="0"/>
        <v>9775600.1600000001</v>
      </c>
    </row>
    <row r="24" spans="1:24" ht="12.75">
      <c r="A24" s="2261" t="s">
        <v>2217</v>
      </c>
      <c r="B24" s="2263" t="s">
        <v>3355</v>
      </c>
      <c r="C24" s="2251"/>
      <c r="D24" s="2251"/>
      <c r="E24" s="2251"/>
      <c r="F24" s="2251"/>
      <c r="G24" s="2251"/>
      <c r="H24" s="2251"/>
      <c r="I24" s="2251"/>
      <c r="J24" s="2251"/>
      <c r="K24" s="2251"/>
      <c r="L24" s="2251"/>
      <c r="M24" s="2251"/>
      <c r="N24" s="2251"/>
      <c r="O24" s="2251"/>
      <c r="P24" s="2251"/>
      <c r="Q24" s="2251"/>
      <c r="R24" s="2251"/>
      <c r="S24" s="2251"/>
      <c r="T24" s="2251"/>
      <c r="U24" s="2251"/>
      <c r="V24" s="2251"/>
      <c r="W24" s="2245">
        <f t="shared" si="1"/>
        <v>0</v>
      </c>
      <c r="X24" s="2245">
        <f t="shared" si="0"/>
        <v>0</v>
      </c>
    </row>
    <row r="25" spans="1:24" ht="12.75">
      <c r="A25" s="2264" t="s">
        <v>3374</v>
      </c>
      <c r="B25" s="2265" t="s">
        <v>3355</v>
      </c>
      <c r="C25" s="2251"/>
      <c r="D25" s="2251"/>
      <c r="E25" s="2251"/>
      <c r="F25" s="2251"/>
      <c r="G25" s="2251"/>
      <c r="H25" s="2251"/>
      <c r="I25" s="2251"/>
      <c r="J25" s="2251"/>
      <c r="K25" s="2251"/>
      <c r="L25" s="2251"/>
      <c r="M25" s="2251"/>
      <c r="N25" s="2251"/>
      <c r="O25" s="2251"/>
      <c r="P25" s="2251"/>
      <c r="Q25" s="2251"/>
      <c r="R25" s="2251"/>
      <c r="S25" s="2251"/>
      <c r="T25" s="2251"/>
      <c r="U25" s="2251"/>
      <c r="V25" s="2251"/>
      <c r="W25" s="2245">
        <f t="shared" si="1"/>
        <v>0</v>
      </c>
      <c r="X25" s="2245">
        <f t="shared" si="0"/>
        <v>0</v>
      </c>
    </row>
    <row r="26" spans="1:24" ht="12.75">
      <c r="A26" s="2253" t="s">
        <v>762</v>
      </c>
      <c r="B26" s="2254" t="s">
        <v>3389</v>
      </c>
      <c r="C26" s="2249">
        <f>SUM(C27:C29)</f>
        <v>1282974</v>
      </c>
      <c r="D26" s="2249">
        <f t="shared" ref="D26:V26" si="3">SUM(D27:D29)</f>
        <v>277678.56</v>
      </c>
      <c r="E26" s="2249">
        <f t="shared" si="3"/>
        <v>0</v>
      </c>
      <c r="F26" s="2249">
        <f t="shared" si="3"/>
        <v>0</v>
      </c>
      <c r="G26" s="2249">
        <f t="shared" si="3"/>
        <v>0</v>
      </c>
      <c r="H26" s="2249">
        <f t="shared" si="3"/>
        <v>0</v>
      </c>
      <c r="I26" s="2249">
        <f t="shared" si="3"/>
        <v>7770000</v>
      </c>
      <c r="J26" s="2249">
        <f t="shared" si="3"/>
        <v>4392100</v>
      </c>
      <c r="K26" s="2249">
        <f t="shared" si="3"/>
        <v>113762200</v>
      </c>
      <c r="L26" s="2249">
        <f t="shared" si="3"/>
        <v>23275807.23</v>
      </c>
      <c r="M26" s="2249">
        <f t="shared" si="3"/>
        <v>4200000</v>
      </c>
      <c r="N26" s="2249">
        <f t="shared" si="3"/>
        <v>1559705.4</v>
      </c>
      <c r="O26" s="2249">
        <f t="shared" si="3"/>
        <v>9190400</v>
      </c>
      <c r="P26" s="2249">
        <f t="shared" si="3"/>
        <v>5352457.74</v>
      </c>
      <c r="Q26" s="2249">
        <f t="shared" si="3"/>
        <v>40000</v>
      </c>
      <c r="R26" s="2249">
        <f t="shared" si="3"/>
        <v>0</v>
      </c>
      <c r="S26" s="2249">
        <f t="shared" si="3"/>
        <v>0</v>
      </c>
      <c r="T26" s="2249">
        <f t="shared" si="3"/>
        <v>0</v>
      </c>
      <c r="U26" s="2249">
        <f t="shared" si="3"/>
        <v>0</v>
      </c>
      <c r="V26" s="2249">
        <f t="shared" si="3"/>
        <v>0</v>
      </c>
      <c r="W26" s="2244">
        <f t="shared" si="1"/>
        <v>136245574</v>
      </c>
      <c r="X26" s="2244">
        <f t="shared" si="0"/>
        <v>34857748.93</v>
      </c>
    </row>
    <row r="27" spans="1:24" ht="12.75">
      <c r="A27" s="2255" t="s">
        <v>2100</v>
      </c>
      <c r="B27" s="2258" t="s">
        <v>3355</v>
      </c>
      <c r="C27" s="2251"/>
      <c r="D27" s="2251"/>
      <c r="E27" s="2251"/>
      <c r="F27" s="2251"/>
      <c r="G27" s="2251"/>
      <c r="H27" s="2251"/>
      <c r="I27" s="2251"/>
      <c r="J27" s="2251"/>
      <c r="K27" s="2251">
        <v>92475200</v>
      </c>
      <c r="L27" s="2251">
        <v>18044507.190000001</v>
      </c>
      <c r="M27" s="2251">
        <v>4200000</v>
      </c>
      <c r="N27" s="2251">
        <v>1559705.4</v>
      </c>
      <c r="O27" s="2251"/>
      <c r="P27" s="2251"/>
      <c r="Q27" s="2251"/>
      <c r="R27" s="2251"/>
      <c r="S27" s="2251"/>
      <c r="T27" s="2251"/>
      <c r="U27" s="2266"/>
      <c r="V27" s="2266"/>
      <c r="W27" s="2245">
        <f t="shared" si="1"/>
        <v>96675200</v>
      </c>
      <c r="X27" s="2245">
        <f t="shared" si="0"/>
        <v>19604212.59</v>
      </c>
    </row>
    <row r="28" spans="1:24" ht="12.75">
      <c r="A28" s="2261" t="s">
        <v>2101</v>
      </c>
      <c r="B28" s="2263" t="s">
        <v>3355</v>
      </c>
      <c r="C28" s="2251"/>
      <c r="D28" s="2251"/>
      <c r="E28" s="2251"/>
      <c r="F28" s="2251"/>
      <c r="G28" s="2251"/>
      <c r="H28" s="2251"/>
      <c r="I28" s="2251"/>
      <c r="J28" s="2251"/>
      <c r="K28" s="2251"/>
      <c r="L28" s="2251"/>
      <c r="M28" s="2251"/>
      <c r="N28" s="2251"/>
      <c r="O28" s="2251">
        <v>8118000</v>
      </c>
      <c r="P28" s="2251">
        <v>4498157.74</v>
      </c>
      <c r="Q28" s="2251"/>
      <c r="R28" s="2251"/>
      <c r="S28" s="2251"/>
      <c r="T28" s="2251"/>
      <c r="U28" s="2266"/>
      <c r="V28" s="2266"/>
      <c r="W28" s="2245">
        <f t="shared" si="1"/>
        <v>8118000</v>
      </c>
      <c r="X28" s="2245">
        <f t="shared" si="0"/>
        <v>4498157.74</v>
      </c>
    </row>
    <row r="29" spans="1:24" ht="12.75">
      <c r="A29" s="2261" t="s">
        <v>2104</v>
      </c>
      <c r="B29" s="2263" t="s">
        <v>3390</v>
      </c>
      <c r="C29" s="2251">
        <v>1282974</v>
      </c>
      <c r="D29" s="2251">
        <v>277678.56</v>
      </c>
      <c r="E29" s="2251"/>
      <c r="F29" s="2251"/>
      <c r="G29" s="2251"/>
      <c r="H29" s="2251"/>
      <c r="I29" s="2251">
        <v>7770000</v>
      </c>
      <c r="J29" s="2246">
        <v>4392100</v>
      </c>
      <c r="K29" s="2251">
        <v>21287000</v>
      </c>
      <c r="L29" s="2251">
        <v>5231300.04</v>
      </c>
      <c r="M29" s="2251"/>
      <c r="N29" s="2251"/>
      <c r="O29" s="2251">
        <v>1072400</v>
      </c>
      <c r="P29" s="2251">
        <v>854300</v>
      </c>
      <c r="Q29" s="2251">
        <v>40000</v>
      </c>
      <c r="R29" s="2251"/>
      <c r="S29" s="2251"/>
      <c r="T29" s="2251"/>
      <c r="U29" s="2251"/>
      <c r="V29" s="2251"/>
      <c r="W29" s="2245">
        <f t="shared" si="1"/>
        <v>31452374</v>
      </c>
      <c r="X29" s="2245">
        <f t="shared" si="0"/>
        <v>10755378.6</v>
      </c>
    </row>
    <row r="30" spans="1:24" ht="12.75">
      <c r="A30" s="2253" t="s">
        <v>2105</v>
      </c>
      <c r="B30" s="2254" t="s">
        <v>3391</v>
      </c>
      <c r="C30" s="2249">
        <f>SUM(C31:C33)</f>
        <v>387459</v>
      </c>
      <c r="D30" s="2249">
        <f t="shared" ref="D30:V30" si="4">SUM(D31:D33)</f>
        <v>81700</v>
      </c>
      <c r="E30" s="2249">
        <f t="shared" si="4"/>
        <v>0</v>
      </c>
      <c r="F30" s="2249">
        <f t="shared" si="4"/>
        <v>0</v>
      </c>
      <c r="G30" s="2249">
        <f t="shared" si="4"/>
        <v>0</v>
      </c>
      <c r="H30" s="2249">
        <f t="shared" si="4"/>
        <v>0</v>
      </c>
      <c r="I30" s="2249">
        <f t="shared" si="4"/>
        <v>2354000</v>
      </c>
      <c r="J30" s="2249">
        <f t="shared" si="4"/>
        <v>1350636.49</v>
      </c>
      <c r="K30" s="2249">
        <f t="shared" si="4"/>
        <v>34355900</v>
      </c>
      <c r="L30" s="2249">
        <f t="shared" si="4"/>
        <v>6754452.6000000006</v>
      </c>
      <c r="M30" s="2249">
        <f t="shared" si="4"/>
        <v>1268200</v>
      </c>
      <c r="N30" s="2249">
        <f t="shared" si="4"/>
        <v>435264.55</v>
      </c>
      <c r="O30" s="2249">
        <f t="shared" si="4"/>
        <v>2758100</v>
      </c>
      <c r="P30" s="2249">
        <f t="shared" si="4"/>
        <v>1929251.55</v>
      </c>
      <c r="Q30" s="2249">
        <f t="shared" si="4"/>
        <v>0</v>
      </c>
      <c r="R30" s="2249">
        <f t="shared" si="4"/>
        <v>0</v>
      </c>
      <c r="S30" s="2249">
        <f t="shared" si="4"/>
        <v>0</v>
      </c>
      <c r="T30" s="2249">
        <f t="shared" si="4"/>
        <v>0</v>
      </c>
      <c r="U30" s="2249">
        <f t="shared" si="4"/>
        <v>0</v>
      </c>
      <c r="V30" s="2249">
        <f t="shared" si="4"/>
        <v>0</v>
      </c>
      <c r="W30" s="2244">
        <f t="shared" si="1"/>
        <v>41123659</v>
      </c>
      <c r="X30" s="2244">
        <f t="shared" si="0"/>
        <v>10551305.190000001</v>
      </c>
    </row>
    <row r="31" spans="1:24" ht="12.75">
      <c r="A31" s="2255" t="s">
        <v>2106</v>
      </c>
      <c r="B31" s="2258" t="s">
        <v>3355</v>
      </c>
      <c r="C31" s="2251"/>
      <c r="D31" s="2251"/>
      <c r="E31" s="2251"/>
      <c r="F31" s="2251"/>
      <c r="G31" s="2251"/>
      <c r="H31" s="2251"/>
      <c r="I31" s="2251"/>
      <c r="J31" s="2246"/>
      <c r="K31" s="2251">
        <v>27927200</v>
      </c>
      <c r="L31" s="2251">
        <v>5027636.82</v>
      </c>
      <c r="M31" s="2251"/>
      <c r="N31" s="2251"/>
      <c r="O31" s="2251"/>
      <c r="P31" s="2251"/>
      <c r="Q31" s="2251"/>
      <c r="R31" s="2251"/>
      <c r="S31" s="2251"/>
      <c r="T31" s="2251"/>
      <c r="U31" s="2251"/>
      <c r="V31" s="2251"/>
      <c r="W31" s="2245">
        <f t="shared" si="1"/>
        <v>27927200</v>
      </c>
      <c r="X31" s="2245">
        <f t="shared" si="0"/>
        <v>5027636.82</v>
      </c>
    </row>
    <row r="32" spans="1:24" ht="12.75">
      <c r="A32" s="2261" t="s">
        <v>2107</v>
      </c>
      <c r="B32" s="2263" t="s">
        <v>3355</v>
      </c>
      <c r="C32" s="2251"/>
      <c r="D32" s="2251"/>
      <c r="E32" s="2251"/>
      <c r="F32" s="2251"/>
      <c r="G32" s="2251"/>
      <c r="H32" s="2251"/>
      <c r="I32" s="2251"/>
      <c r="J32" s="2251"/>
      <c r="K32" s="2251"/>
      <c r="L32" s="2251"/>
      <c r="M32" s="2251"/>
      <c r="N32" s="2251"/>
      <c r="O32" s="2251">
        <v>2434200</v>
      </c>
      <c r="P32" s="2251">
        <v>1654031.76</v>
      </c>
      <c r="Q32" s="2251"/>
      <c r="R32" s="2251"/>
      <c r="S32" s="2251"/>
      <c r="T32" s="2251"/>
      <c r="U32" s="2251"/>
      <c r="V32" s="2251"/>
      <c r="W32" s="2245">
        <f t="shared" si="1"/>
        <v>2434200</v>
      </c>
      <c r="X32" s="2245">
        <f t="shared" si="0"/>
        <v>1654031.76</v>
      </c>
    </row>
    <row r="33" spans="1:24" ht="12.75">
      <c r="A33" s="2261" t="s">
        <v>2108</v>
      </c>
      <c r="B33" s="2263" t="s">
        <v>3355</v>
      </c>
      <c r="C33" s="2251">
        <v>387459</v>
      </c>
      <c r="D33" s="2251">
        <v>81700</v>
      </c>
      <c r="E33" s="2251"/>
      <c r="F33" s="2251"/>
      <c r="G33" s="2251"/>
      <c r="H33" s="2251"/>
      <c r="I33" s="2251">
        <v>2354000</v>
      </c>
      <c r="J33" s="2251">
        <v>1350636.49</v>
      </c>
      <c r="K33" s="2251">
        <v>6428700</v>
      </c>
      <c r="L33" s="2251">
        <v>1726815.78</v>
      </c>
      <c r="M33" s="2251">
        <v>1268200</v>
      </c>
      <c r="N33" s="2251">
        <v>435264.55</v>
      </c>
      <c r="O33" s="2251">
        <v>323900</v>
      </c>
      <c r="P33" s="2251">
        <v>275219.78999999998</v>
      </c>
      <c r="Q33" s="2251"/>
      <c r="R33" s="2251"/>
      <c r="S33" s="2251"/>
      <c r="T33" s="2251"/>
      <c r="U33" s="2251"/>
      <c r="V33" s="2251"/>
      <c r="W33" s="2245">
        <f t="shared" si="1"/>
        <v>10762259</v>
      </c>
      <c r="X33" s="2245">
        <f t="shared" si="0"/>
        <v>3869636.61</v>
      </c>
    </row>
  </sheetData>
  <mergeCells count="11">
    <mergeCell ref="C2:D2"/>
    <mergeCell ref="E2:F2"/>
    <mergeCell ref="G2:H2"/>
    <mergeCell ref="W2:X2"/>
    <mergeCell ref="K2:L2"/>
    <mergeCell ref="I2:J2"/>
    <mergeCell ref="M2:N2"/>
    <mergeCell ref="O2:P2"/>
    <mergeCell ref="Q2:R2"/>
    <mergeCell ref="S2:T2"/>
    <mergeCell ref="U2:V2"/>
  </mergeCells>
  <phoneticPr fontId="0" type="noConversion"/>
  <pageMargins left="0.17" right="0.16" top="0.51" bottom="0.18" header="0.5" footer="0.18"/>
  <pageSetup paperSize="9" scale="5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vt:i4>
      </vt:variant>
    </vt:vector>
  </HeadingPairs>
  <TitlesOfParts>
    <vt:vector size="21" baseType="lpstr">
      <vt:lpstr>ct</vt:lpstr>
      <vt:lpstr>mo</vt:lpstr>
      <vt:lpstr>Лист1</vt:lpstr>
      <vt:lpstr>425</vt:lpstr>
      <vt:lpstr>125</vt:lpstr>
      <vt:lpstr>g</vt:lpstr>
      <vt:lpstr>g1</vt:lpstr>
      <vt:lpstr>ctm</vt:lpstr>
      <vt:lpstr>ctr</vt:lpstr>
      <vt:lpstr>Лист2</vt:lpstr>
      <vt:lpstr>423</vt:lpstr>
      <vt:lpstr>177</vt:lpstr>
      <vt:lpstr>gog</vt:lpstr>
      <vt:lpstr>МО</vt:lpstr>
      <vt:lpstr>ВО</vt:lpstr>
      <vt:lpstr>ЛО</vt:lpstr>
      <vt:lpstr>СО</vt:lpstr>
      <vt:lpstr>ГО</vt:lpstr>
      <vt:lpstr>Лист3</vt:lpstr>
      <vt:lpstr>Лист4</vt:lpstr>
      <vt:lpstr>Лист1!Область_печати</vt:lpstr>
    </vt:vector>
  </TitlesOfParts>
  <Company>Финуправление Мамско-Чуйского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Захарова М.В.</dc:creator>
  <cp:lastModifiedBy>Admin</cp:lastModifiedBy>
  <cp:lastPrinted>2016-04-13T05:34:00Z</cp:lastPrinted>
  <dcterms:created xsi:type="dcterms:W3CDTF">2005-11-08T07:49:41Z</dcterms:created>
  <dcterms:modified xsi:type="dcterms:W3CDTF">2016-04-13T05:35:41Z</dcterms:modified>
</cp:coreProperties>
</file>